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8 AGOSTO IAFF 2022\"/>
    </mc:Choice>
  </mc:AlternateContent>
  <bookViews>
    <workbookView xWindow="0" yWindow="0" windowWidth="28800" windowHeight="12435"/>
  </bookViews>
  <sheets>
    <sheet name="IAFF (1)" sheetId="1" r:id="rId1"/>
    <sheet name="IAFF (2)" sheetId="10" r:id="rId2"/>
    <sheet name="IAFF (3)" sheetId="8" r:id="rId3"/>
    <sheet name="Hoja1" sheetId="11" r:id="rId4"/>
  </sheets>
  <externalReferences>
    <externalReference r:id="rId5"/>
  </externalReferences>
  <definedNames>
    <definedName name="_xlnm.Print_Area" localSheetId="3">Hoja1!$A$1:$F$71</definedName>
    <definedName name="_xlnm.Print_Area" localSheetId="0">'IAFF (1)'!$A$1:$P$69</definedName>
    <definedName name="_xlnm.Print_Area" localSheetId="1">'IAFF (2)'!$A$1:$V$123</definedName>
    <definedName name="_xlnm.Print_Area" localSheetId="2">'IAFF (3)'!$A$1:$R$32</definedName>
    <definedName name="_xlnm.Print_Titles" localSheetId="0">'IAFF (1)'!$32:$38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L19" i="1" l="1"/>
  <c r="D6" i="11"/>
  <c r="L29" i="1" l="1"/>
  <c r="K94" i="10" l="1"/>
  <c r="C55" i="11"/>
  <c r="I20" i="1"/>
  <c r="L39" i="1"/>
  <c r="H20" i="1"/>
  <c r="L27" i="1"/>
  <c r="L20" i="1"/>
  <c r="D11" i="11"/>
  <c r="D56" i="11"/>
  <c r="D55" i="11"/>
  <c r="D5" i="11"/>
  <c r="D54" i="11"/>
  <c r="D49" i="11" l="1"/>
  <c r="D10" i="11"/>
  <c r="K101" i="10" l="1"/>
  <c r="L45" i="1"/>
  <c r="H25" i="1"/>
  <c r="K19" i="1"/>
  <c r="D32" i="11"/>
  <c r="D31" i="11"/>
  <c r="D30" i="11"/>
  <c r="D29" i="11"/>
  <c r="D28" i="11"/>
  <c r="D27" i="11"/>
  <c r="D26" i="11"/>
  <c r="D50" i="11" l="1"/>
  <c r="E55" i="11" l="1"/>
  <c r="S102" i="10" l="1"/>
  <c r="S97" i="10"/>
  <c r="S96" i="10"/>
  <c r="S95" i="10"/>
  <c r="I50" i="1" l="1"/>
  <c r="J6" i="11"/>
  <c r="T67" i="1" l="1"/>
  <c r="Q47" i="10"/>
  <c r="Q66" i="10"/>
  <c r="P47" i="10"/>
  <c r="C6" i="11" l="1"/>
  <c r="K20" i="1" l="1"/>
  <c r="D7" i="11" l="1"/>
  <c r="D69" i="11"/>
  <c r="D12" i="11"/>
  <c r="D33" i="11"/>
  <c r="D51" i="11"/>
  <c r="K25" i="1"/>
  <c r="J25" i="1"/>
  <c r="D71" i="11" l="1"/>
  <c r="G31" i="1"/>
  <c r="N105" i="10"/>
  <c r="H31" i="1" l="1"/>
  <c r="I31" i="1" s="1"/>
  <c r="L50" i="1" l="1"/>
  <c r="L26" i="1"/>
  <c r="J106" i="10" l="1"/>
  <c r="J103" i="10"/>
  <c r="J102" i="10"/>
  <c r="J101" i="10"/>
  <c r="J97" i="10"/>
  <c r="J96" i="10"/>
  <c r="J95" i="10"/>
  <c r="J94" i="10"/>
  <c r="J93" i="10"/>
  <c r="AF29" i="1" l="1"/>
  <c r="AD30" i="1"/>
  <c r="N103" i="10" l="1"/>
  <c r="N102" i="10"/>
  <c r="N101" i="10"/>
  <c r="N97" i="10"/>
  <c r="N96" i="10"/>
  <c r="N95" i="10"/>
  <c r="N94" i="10"/>
  <c r="N93" i="10"/>
  <c r="F106" i="10" l="1"/>
  <c r="F103" i="10"/>
  <c r="F102" i="10"/>
  <c r="F101" i="10"/>
  <c r="F97" i="10"/>
  <c r="F96" i="10"/>
  <c r="F95" i="10"/>
  <c r="F94" i="10"/>
  <c r="F93" i="10"/>
  <c r="G105" i="10" l="1"/>
  <c r="G94" i="10"/>
  <c r="D114" i="10" l="1"/>
  <c r="C113" i="10"/>
  <c r="B113" i="10"/>
  <c r="X66" i="1" l="1"/>
  <c r="N106" i="10" l="1"/>
  <c r="K50" i="1"/>
  <c r="G50" i="1"/>
  <c r="C69" i="11"/>
  <c r="C51" i="11"/>
  <c r="C43" i="11"/>
  <c r="C33" i="11"/>
  <c r="C12" i="11"/>
  <c r="C7" i="11"/>
  <c r="C71" i="11" l="1"/>
  <c r="J73" i="11" s="1"/>
  <c r="J19" i="1" l="1"/>
  <c r="M20" i="1"/>
  <c r="J20" i="1"/>
  <c r="F20" i="1"/>
  <c r="M22" i="1" l="1"/>
  <c r="G96" i="10" l="1"/>
  <c r="M96" i="10" s="1"/>
  <c r="B96" i="10"/>
  <c r="J30" i="1" l="1"/>
  <c r="R102" i="10" l="1"/>
  <c r="G102" i="10"/>
  <c r="M102" i="10" s="1"/>
  <c r="O102" i="10" s="1"/>
  <c r="E97" i="10"/>
  <c r="E95" i="10"/>
  <c r="G95" i="10"/>
  <c r="M26" i="1"/>
  <c r="M21" i="1"/>
  <c r="F107" i="10" l="1"/>
  <c r="J107" i="10"/>
  <c r="G93" i="10"/>
  <c r="F31" i="1" l="1"/>
  <c r="L31" i="1"/>
  <c r="I19" i="1" l="1"/>
  <c r="I23" i="1"/>
  <c r="I25" i="1"/>
  <c r="M95" i="10"/>
  <c r="M93" i="10"/>
  <c r="J29" i="1"/>
  <c r="A62" i="1" l="1"/>
  <c r="M105" i="10"/>
  <c r="K30" i="1"/>
  <c r="C112" i="10"/>
  <c r="B112" i="10"/>
  <c r="R105" i="10"/>
  <c r="R103" i="10"/>
  <c r="K103" i="10"/>
  <c r="R101" i="10"/>
  <c r="P101" i="10"/>
  <c r="Q97" i="10"/>
  <c r="P97" i="10"/>
  <c r="R97" i="10"/>
  <c r="Q95" i="10"/>
  <c r="R95" i="10"/>
  <c r="K95" i="10"/>
  <c r="P95" i="10" s="1"/>
  <c r="P94" i="10"/>
  <c r="R94" i="10"/>
  <c r="L94" i="10"/>
  <c r="Q94" i="10" s="1"/>
  <c r="G86" i="10"/>
  <c r="N84" i="10"/>
  <c r="M84" i="10"/>
  <c r="N83" i="10"/>
  <c r="R83" i="10" s="1"/>
  <c r="M83" i="10"/>
  <c r="N81" i="10"/>
  <c r="R81" i="10" s="1"/>
  <c r="M81" i="10"/>
  <c r="K81" i="10"/>
  <c r="J81" i="10"/>
  <c r="N80" i="10"/>
  <c r="M80" i="10"/>
  <c r="K80" i="10"/>
  <c r="P80" i="10" s="1"/>
  <c r="J80" i="10"/>
  <c r="N79" i="10"/>
  <c r="R79" i="10" s="1"/>
  <c r="M79" i="10"/>
  <c r="K79" i="10"/>
  <c r="P79" i="10" s="1"/>
  <c r="J79" i="10"/>
  <c r="N77" i="10"/>
  <c r="R77" i="10" s="1"/>
  <c r="M77" i="10"/>
  <c r="K77" i="10"/>
  <c r="P77" i="10" s="1"/>
  <c r="J77" i="10"/>
  <c r="N76" i="10"/>
  <c r="M76" i="10"/>
  <c r="K76" i="10"/>
  <c r="P76" i="10" s="1"/>
  <c r="J76" i="10"/>
  <c r="Q75" i="10"/>
  <c r="P75" i="10"/>
  <c r="N75" i="10"/>
  <c r="M75" i="10"/>
  <c r="J75" i="10"/>
  <c r="Q74" i="10"/>
  <c r="N74" i="10"/>
  <c r="R74" i="10" s="1"/>
  <c r="M74" i="10"/>
  <c r="K74" i="10"/>
  <c r="P74" i="10" s="1"/>
  <c r="J74" i="10"/>
  <c r="N73" i="10"/>
  <c r="R73" i="10" s="1"/>
  <c r="M73" i="10"/>
  <c r="K73" i="10"/>
  <c r="J73" i="10"/>
  <c r="N72" i="10"/>
  <c r="M72" i="10"/>
  <c r="K72" i="10"/>
  <c r="J72" i="10"/>
  <c r="P66" i="10"/>
  <c r="N66" i="10"/>
  <c r="F114" i="10" s="1"/>
  <c r="M66" i="10"/>
  <c r="K66" i="10"/>
  <c r="J66" i="10"/>
  <c r="G66" i="10"/>
  <c r="R64" i="10"/>
  <c r="O64" i="10"/>
  <c r="S64" i="10" s="1"/>
  <c r="R62" i="10"/>
  <c r="O62" i="10"/>
  <c r="S62" i="10" s="1"/>
  <c r="Q61" i="10"/>
  <c r="O61" i="10"/>
  <c r="S61" i="10" s="1"/>
  <c r="L61" i="10"/>
  <c r="R59" i="10"/>
  <c r="Q59" i="10"/>
  <c r="O59" i="10"/>
  <c r="S59" i="10" s="1"/>
  <c r="L59" i="10"/>
  <c r="R58" i="10"/>
  <c r="Q58" i="10"/>
  <c r="O58" i="10"/>
  <c r="S58" i="10" s="1"/>
  <c r="L58" i="10"/>
  <c r="R57" i="10"/>
  <c r="Q57" i="10"/>
  <c r="O57" i="10"/>
  <c r="S57" i="10" s="1"/>
  <c r="L57" i="10"/>
  <c r="R56" i="10"/>
  <c r="Q56" i="10"/>
  <c r="O56" i="10"/>
  <c r="S56" i="10" s="1"/>
  <c r="L56" i="10"/>
  <c r="R55" i="10"/>
  <c r="Q55" i="10"/>
  <c r="O55" i="10"/>
  <c r="S55" i="10" s="1"/>
  <c r="L55" i="10"/>
  <c r="R54" i="10"/>
  <c r="Q54" i="10"/>
  <c r="O54" i="10"/>
  <c r="S54" i="10" s="1"/>
  <c r="L54" i="10"/>
  <c r="N48" i="10"/>
  <c r="M48" i="10"/>
  <c r="S47" i="10"/>
  <c r="K47" i="10"/>
  <c r="J47" i="10"/>
  <c r="R46" i="10"/>
  <c r="O46" i="10"/>
  <c r="Q46" i="10" s="1"/>
  <c r="S46" i="10" s="1"/>
  <c r="R44" i="10"/>
  <c r="O44" i="10"/>
  <c r="Q44" i="10" s="1"/>
  <c r="S44" i="10" s="1"/>
  <c r="L44" i="10"/>
  <c r="R43" i="10"/>
  <c r="O43" i="10"/>
  <c r="Q43" i="10" s="1"/>
  <c r="S43" i="10" s="1"/>
  <c r="L43" i="10"/>
  <c r="R42" i="10"/>
  <c r="O42" i="10"/>
  <c r="Q42" i="10" s="1"/>
  <c r="S42" i="10" s="1"/>
  <c r="L42" i="10"/>
  <c r="R41" i="10"/>
  <c r="O41" i="10"/>
  <c r="Q41" i="10" s="1"/>
  <c r="S41" i="10" s="1"/>
  <c r="L41" i="10"/>
  <c r="R40" i="10"/>
  <c r="O40" i="10"/>
  <c r="Q40" i="10" s="1"/>
  <c r="S40" i="10" s="1"/>
  <c r="L40" i="10"/>
  <c r="Q38" i="10"/>
  <c r="Q37" i="10"/>
  <c r="G30" i="10"/>
  <c r="G101" i="10" l="1"/>
  <c r="M101" i="10" s="1"/>
  <c r="K31" i="1"/>
  <c r="H58" i="1"/>
  <c r="L47" i="10"/>
  <c r="O48" i="10"/>
  <c r="F113" i="10"/>
  <c r="M23" i="1"/>
  <c r="G97" i="10"/>
  <c r="M94" i="10"/>
  <c r="O94" i="10" s="1"/>
  <c r="S94" i="10" s="1"/>
  <c r="M30" i="1"/>
  <c r="G106" i="10"/>
  <c r="M106" i="10" s="1"/>
  <c r="L72" i="10"/>
  <c r="Q72" i="10" s="1"/>
  <c r="L77" i="10"/>
  <c r="Q77" i="10" s="1"/>
  <c r="L73" i="10"/>
  <c r="Q73" i="10" s="1"/>
  <c r="O77" i="10"/>
  <c r="S77" i="10" s="1"/>
  <c r="O79" i="10"/>
  <c r="O76" i="10"/>
  <c r="S76" i="10" s="1"/>
  <c r="O84" i="10"/>
  <c r="D113" i="10" s="1"/>
  <c r="O80" i="10"/>
  <c r="R84" i="10"/>
  <c r="R80" i="10"/>
  <c r="K107" i="10"/>
  <c r="O81" i="10"/>
  <c r="L66" i="10"/>
  <c r="B114" i="10" s="1"/>
  <c r="O73" i="10"/>
  <c r="S73" i="10" s="1"/>
  <c r="P73" i="10"/>
  <c r="R66" i="10"/>
  <c r="L81" i="10"/>
  <c r="Q81" i="10" s="1"/>
  <c r="L103" i="10"/>
  <c r="Q103" i="10" s="1"/>
  <c r="J86" i="10"/>
  <c r="J130" i="10" s="1"/>
  <c r="P103" i="10"/>
  <c r="K86" i="10"/>
  <c r="R76" i="10"/>
  <c r="P81" i="10"/>
  <c r="L93" i="10"/>
  <c r="Q93" i="10" s="1"/>
  <c r="M86" i="10"/>
  <c r="N107" i="10"/>
  <c r="N86" i="10"/>
  <c r="L80" i="10"/>
  <c r="Q80" i="10" s="1"/>
  <c r="O83" i="10"/>
  <c r="S83" i="10" s="1"/>
  <c r="P93" i="10"/>
  <c r="O93" i="10"/>
  <c r="S93" i="10" s="1"/>
  <c r="L101" i="10"/>
  <c r="Q101" i="10" s="1"/>
  <c r="R93" i="10"/>
  <c r="O101" i="10"/>
  <c r="S101" i="10" s="1"/>
  <c r="O105" i="10"/>
  <c r="S105" i="10" s="1"/>
  <c r="P72" i="10"/>
  <c r="L79" i="10"/>
  <c r="Q79" i="10" s="1"/>
  <c r="O72" i="10"/>
  <c r="S72" i="10" s="1"/>
  <c r="O66" i="10"/>
  <c r="C114" i="10" s="1"/>
  <c r="R72" i="10"/>
  <c r="L76" i="10"/>
  <c r="Q76" i="10" s="1"/>
  <c r="K130" i="10" l="1"/>
  <c r="L130" i="10" s="1"/>
  <c r="M97" i="10"/>
  <c r="S84" i="10"/>
  <c r="R86" i="10"/>
  <c r="S86" i="10" s="1"/>
  <c r="O86" i="10"/>
  <c r="C115" i="10" s="1"/>
  <c r="F115" i="10"/>
  <c r="F116" i="10"/>
  <c r="P107" i="10"/>
  <c r="Q107" i="10" s="1"/>
  <c r="D116" i="10" s="1"/>
  <c r="L86" i="10"/>
  <c r="B115" i="10" s="1"/>
  <c r="P86" i="10"/>
  <c r="Q86" i="10" s="1"/>
  <c r="D115" i="10" s="1"/>
  <c r="L107" i="10"/>
  <c r="B116" i="10" s="1"/>
  <c r="R107" i="10"/>
  <c r="D66" i="1" l="1"/>
  <c r="A66" i="1" s="1"/>
  <c r="F117" i="10"/>
  <c r="J27" i="1"/>
  <c r="K27" i="1" s="1"/>
  <c r="M25" i="1"/>
  <c r="J31" i="1"/>
  <c r="M19" i="1"/>
  <c r="M29" i="1"/>
  <c r="G103" i="10" l="1"/>
  <c r="G107" i="10" s="1"/>
  <c r="M27" i="1"/>
  <c r="M103" i="10" l="1"/>
  <c r="M107" i="10" s="1"/>
  <c r="M31" i="1"/>
  <c r="D62" i="1" s="1"/>
  <c r="H60" i="1" s="1"/>
  <c r="Z19" i="1"/>
  <c r="O103" i="10" l="1"/>
  <c r="S103" i="10" s="1"/>
  <c r="O107" i="10" l="1"/>
  <c r="C116" i="10" s="1"/>
  <c r="S107" i="10"/>
</calcChain>
</file>

<file path=xl/comments1.xml><?xml version="1.0" encoding="utf-8"?>
<comments xmlns="http://schemas.openxmlformats.org/spreadsheetml/2006/main">
  <authors>
    <author>David Estuardo Lee Pinto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181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Renglones 158,185,297, 299, 324, 328, 329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181, 115, 185,188, 199, 241, 244, 291, 322, 328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181, 115, 185,188, 199, 241, 244, 291, 322, 328
</t>
        </r>
      </text>
    </comment>
  </commentList>
</comments>
</file>

<file path=xl/sharedStrings.xml><?xml version="1.0" encoding="utf-8"?>
<sst xmlns="http://schemas.openxmlformats.org/spreadsheetml/2006/main" count="511" uniqueCount="194">
  <si>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</si>
  <si>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</si>
  <si>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</si>
  <si>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</si>
  <si>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</si>
  <si>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</si>
  <si>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</si>
  <si>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</si>
  <si>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</si>
  <si>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</si>
  <si>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</si>
  <si>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</si>
  <si>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</si>
  <si>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</si>
  <si>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</si>
  <si>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</si>
  <si>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</si>
  <si>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</si>
  <si>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</si>
  <si>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</si>
  <si>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</si>
  <si>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</si>
  <si>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</si>
  <si>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</si>
  <si>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</si>
  <si>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</si>
  <si>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</si>
  <si>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</si>
  <si>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</si>
  <si>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</si>
  <si>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</si>
  <si>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</si>
  <si>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</si>
  <si>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</si>
  <si>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</si>
  <si>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</si>
  <si>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</si>
  <si>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</si>
  <si>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</si>
  <si>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</si>
  <si>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</si>
  <si>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</si>
  <si>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</si>
  <si>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</si>
  <si>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</si>
  <si>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</si>
  <si>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</si>
  <si>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</si>
  <si>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</si>
  <si>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</si>
  <si>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</si>
  <si>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</si>
  <si>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</si>
  <si>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</si>
  <si>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</si>
  <si>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</si>
  <si>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</si>
  <si>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</si>
  <si>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</si>
  <si>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</si>
  <si>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</si>
  <si>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</si>
  <si>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</si>
  <si>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</si>
  <si>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</si>
  <si>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</si>
  <si>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</si>
  <si>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</si>
  <si>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</si>
  <si>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</si>
  <si>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</si>
  <si>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</si>
  <si>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</si>
  <si>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</si>
  <si>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</si>
  <si>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</si>
  <si>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</si>
  <si>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</si>
  <si>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</si>
  <si>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</si>
  <si>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</si>
  <si>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</si>
  <si>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</si>
  <si>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</si>
  <si>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</si>
  <si>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</si>
  <si>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</si>
  <si>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</si>
  <si>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</si>
  <si>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</si>
  <si>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BID 3618/OC-GU</t>
  </si>
  <si>
    <t>52-0402-0126</t>
  </si>
  <si>
    <t>Habilitación y remozamiento de centros escolares</t>
  </si>
  <si>
    <t>Unidad</t>
  </si>
  <si>
    <t>Administración, supervisión y evaluación</t>
  </si>
  <si>
    <t>Administración del programa</t>
  </si>
  <si>
    <t>N/A</t>
  </si>
  <si>
    <t>Módulos</t>
  </si>
  <si>
    <t>Remozamiento de Centros Escolares vía OPF</t>
  </si>
  <si>
    <t>Equipo Tecnológico</t>
  </si>
  <si>
    <t>Mejora de la calidad de la enseñanza y los aprendizajes</t>
  </si>
  <si>
    <t>Equipamiento de módulos</t>
  </si>
  <si>
    <t>Equipo</t>
  </si>
  <si>
    <t>1113-0008</t>
  </si>
  <si>
    <t>Componente 1</t>
  </si>
  <si>
    <t>Habilitacion y Remozamiento de centros escolares</t>
  </si>
  <si>
    <t>Edificios escolares reparados y remozados del nivel preprimaria y primaria</t>
  </si>
  <si>
    <t>Habilitación de centros escolares par el nivel de educación preprimaria</t>
  </si>
  <si>
    <t>Fortalecimiento a los programas de Apoyo del Organismo Ejecutor</t>
  </si>
  <si>
    <t>Remozamiento de las aulas deterioradas en los niveles de educación preprimaria y primaria</t>
  </si>
  <si>
    <t>Establecimientos</t>
  </si>
  <si>
    <t>Componente 2</t>
  </si>
  <si>
    <t>Mejora de la calidad de los Docentes</t>
  </si>
  <si>
    <t>Promoción de la lectura, mantemáticas y valores</t>
  </si>
  <si>
    <t>Documento</t>
  </si>
  <si>
    <t>Componente 3</t>
  </si>
  <si>
    <t>Administración, seguimiento , monitoreo y auditoría</t>
  </si>
  <si>
    <t>Evaluación</t>
  </si>
  <si>
    <t>Adquisición de módulos educativos</t>
  </si>
  <si>
    <t>Adquisición de mobiliarios escolar</t>
  </si>
  <si>
    <t>Docentes de preprimaria capacitados</t>
  </si>
  <si>
    <t>Docente</t>
  </si>
  <si>
    <t>Adquisición de textos escolares</t>
  </si>
  <si>
    <t>Texto</t>
  </si>
  <si>
    <t>Capacitacion a docentes / directores</t>
  </si>
  <si>
    <t>Adquisición de equipo tecnológico</t>
  </si>
  <si>
    <t>Varios</t>
  </si>
  <si>
    <t>Adquisición de módulos educativos preprimaria monolingüe</t>
  </si>
  <si>
    <t>Adquisición de módulos educativos preprimaria bilingüe</t>
  </si>
  <si>
    <t>Adquisición de mobiliario escolar para aulas preprimaria monolingüe</t>
  </si>
  <si>
    <t>Mobiliario</t>
  </si>
  <si>
    <t>Adquisición de mobiliario escolar para aulas preprimaria bilingüe</t>
  </si>
  <si>
    <t>Remozamiento de aulas deterioradas en los niveles de educacion preprimaria transferencias a OPF</t>
  </si>
  <si>
    <t>Transferencia</t>
  </si>
  <si>
    <t>Remozamiento de aulas deterioradas en los niveles de educacion primaria transferencias a OPF</t>
  </si>
  <si>
    <t>Capacitacion de docentes</t>
  </si>
  <si>
    <t>Textos</t>
  </si>
  <si>
    <t>Tecnología</t>
  </si>
  <si>
    <t>Impresión de textos serie Descubro y aprendo para niños y niñas de 4, 5 y 6 años preprimaria</t>
  </si>
  <si>
    <t>NA</t>
  </si>
  <si>
    <t>Capacitación a docentes, FID / PADEP</t>
  </si>
  <si>
    <t>Transferencias</t>
  </si>
  <si>
    <t>REPORTE DE SICOIN</t>
  </si>
  <si>
    <t>Capacitación a Docentes FID / PADEP</t>
  </si>
  <si>
    <t>Censo de infraestructura</t>
  </si>
  <si>
    <t>Mejora de la calidad de la  enseñanza</t>
  </si>
  <si>
    <t xml:space="preserve">Módulos educativos </t>
  </si>
  <si>
    <t>Servicios de desarrollo curricular</t>
  </si>
  <si>
    <t>Evaluación de formacion de docentes / evaluación de tecnología</t>
  </si>
  <si>
    <t>Consultores formadores comunitarios en gestión escolar en el nivel preprimario</t>
  </si>
  <si>
    <t>Servcios de desarrollo curricular</t>
  </si>
  <si>
    <t>ADQUISICIÓN DE MÓDULOS PREFABRICADOS PARA CENTROS EDUCATIVOS FASE II DEL MINISTERIO DE EDUCACIÓN</t>
  </si>
  <si>
    <t>Habilitación de centros escolares para el nivel de educación preprimaria</t>
  </si>
  <si>
    <t>ADQUISICIÓN DE EQUIPO TECNOLÓGICO PARA CENTROS EDUCATIVOS OFICIALES DEL NIVEL PRIMARIO</t>
  </si>
  <si>
    <t>Promoción de la lectura, matemática y valores</t>
  </si>
  <si>
    <t>ESTRATEGIA E IMPLEMENTACIÓN DE CAMPAÑAS DE COMUNICACIÓN</t>
  </si>
  <si>
    <t>ADQUISICIÓN DE MOBILIARIO ESCOLAR PARA EQUIPAR MÓDULOS PREFABRICADOS FASE II</t>
  </si>
  <si>
    <t>Renglon 435</t>
  </si>
  <si>
    <t>Renglón 188</t>
  </si>
  <si>
    <t>Renglón 329</t>
  </si>
  <si>
    <t>Censo de Infraestructura</t>
  </si>
  <si>
    <t>Renglón 181</t>
  </si>
  <si>
    <t>Equipamiento de modulos</t>
  </si>
  <si>
    <t>Renglón 324</t>
  </si>
  <si>
    <t>Equipo tecnológico</t>
  </si>
  <si>
    <t>Renglón 158</t>
  </si>
  <si>
    <t>Renglón 185</t>
  </si>
  <si>
    <t>Renglón 297</t>
  </si>
  <si>
    <t>Renglón 299</t>
  </si>
  <si>
    <t>Renglón 328</t>
  </si>
  <si>
    <t>Renglón 186</t>
  </si>
  <si>
    <t>Renglón 189</t>
  </si>
  <si>
    <t>Renglon 189</t>
  </si>
  <si>
    <t>Capacitación Docentes FID/PADEP</t>
  </si>
  <si>
    <t>Programa 11</t>
  </si>
  <si>
    <t>Programa 12</t>
  </si>
  <si>
    <t>Programa 14</t>
  </si>
  <si>
    <t>Renglon 081</t>
  </si>
  <si>
    <t>189 Programa 5 DIGEMOCA</t>
  </si>
  <si>
    <t>Renglon 185</t>
  </si>
  <si>
    <t>REPORTES DE SICOIN</t>
  </si>
  <si>
    <t>Módulos educativos</t>
  </si>
  <si>
    <t>POA</t>
  </si>
  <si>
    <t>Total</t>
  </si>
  <si>
    <t>EJECUTADO</t>
  </si>
  <si>
    <t>INTEGRACIÓN PRESUPUESTARIA INCLUIDA EN EL INFORME</t>
  </si>
  <si>
    <t>VIGENTE</t>
  </si>
  <si>
    <t>EJECUCIÓN FISICA TOTAL</t>
  </si>
  <si>
    <t>EJECUCIÓN FINANCIERA TOTAL</t>
  </si>
  <si>
    <t xml:space="preserve">Evaluación </t>
  </si>
  <si>
    <t xml:space="preserve">Evalución </t>
  </si>
  <si>
    <t>AGOSTO</t>
  </si>
  <si>
    <t>En firma de contratos</t>
  </si>
  <si>
    <t xml:space="preserve">En el mes de agosto 2022, se realizó el pago de 9 módulos educativos de la fase II. Se ejectuaron pagos de consultores evaludadores para OPF y Módulos educativos.  Se realizaron los pagos del primer semestre de FID 40% de la 6ta y 7ma Cohorte, 60% de la 6ta y 7ma Cohorte.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</si>
</sst>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/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13" borderId="89" applyNumberFormat="0" applyFont="0" applyAlignment="0" applyProtection="0"/>
  </cellStyleXfs>
  <cellXfs count="7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1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Fill="1" applyAlignment="1">
      <alignment vertical="top" wrapText="1"/>
    </xf>
    <xf numFmtId="0" fontId="1" fillId="0" borderId="14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 applyAlignment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8" fillId="0" borderId="1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5" xfId="0" applyFont="1" applyBorder="1" applyAlignment="1"/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9" fontId="0" fillId="0" borderId="0" xfId="2" applyFont="1"/>
    <xf numFmtId="0" fontId="16" fillId="0" borderId="26" xfId="0" applyFont="1" applyFill="1" applyBorder="1" applyAlignment="1">
      <alignment horizontal="center" vertical="center"/>
    </xf>
    <xf numFmtId="10" fontId="16" fillId="0" borderId="1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6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5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164" fontId="16" fillId="10" borderId="14" xfId="1" applyFont="1" applyFill="1" applyBorder="1" applyAlignment="1"/>
    <xf numFmtId="165" fontId="16" fillId="10" borderId="7" xfId="2" applyNumberFormat="1" applyFont="1" applyFill="1" applyBorder="1" applyAlignment="1"/>
    <xf numFmtId="0" fontId="1" fillId="10" borderId="1" xfId="0" applyFont="1" applyFill="1" applyBorder="1" applyAlignment="1">
      <alignment horizontal="center"/>
    </xf>
    <xf numFmtId="9" fontId="1" fillId="10" borderId="3" xfId="2" applyFont="1" applyFill="1" applyBorder="1" applyAlignment="1"/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10" fontId="14" fillId="9" borderId="0" xfId="0" applyNumberFormat="1" applyFont="1" applyFill="1" applyBorder="1"/>
    <xf numFmtId="10" fontId="15" fillId="0" borderId="0" xfId="0" applyNumberFormat="1" applyFont="1" applyBorder="1"/>
    <xf numFmtId="0" fontId="21" fillId="8" borderId="5" xfId="0" applyFont="1" applyFill="1" applyBorder="1" applyAlignment="1">
      <alignment horizontal="center" vertical="top"/>
    </xf>
    <xf numFmtId="0" fontId="23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6" fillId="0" borderId="0" xfId="0" applyFont="1" applyFill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26" fillId="0" borderId="43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21" fillId="8" borderId="43" xfId="0" applyFont="1" applyFill="1" applyBorder="1" applyAlignment="1">
      <alignment horizontal="center" vertical="center" wrapText="1"/>
    </xf>
    <xf numFmtId="10" fontId="8" fillId="0" borderId="1" xfId="2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/>
    <xf numFmtId="0" fontId="21" fillId="8" borderId="65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164" fontId="1" fillId="0" borderId="19" xfId="1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164" fontId="16" fillId="0" borderId="19" xfId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0" xfId="0" applyNumberFormat="1" applyFont="1" applyFill="1" applyBorder="1" applyAlignment="1">
      <alignment horizontal="center" vertical="center"/>
    </xf>
    <xf numFmtId="10" fontId="16" fillId="0" borderId="1" xfId="2" applyNumberFormat="1" applyFont="1" applyBorder="1" applyAlignment="1"/>
    <xf numFmtId="10" fontId="16" fillId="0" borderId="14" xfId="2" applyNumberFormat="1" applyFont="1" applyBorder="1" applyAlignment="1"/>
    <xf numFmtId="10" fontId="16" fillId="0" borderId="26" xfId="2" applyNumberFormat="1" applyFont="1" applyBorder="1" applyAlignment="1"/>
    <xf numFmtId="10" fontId="16" fillId="0" borderId="18" xfId="2" applyNumberFormat="1" applyFont="1" applyBorder="1" applyAlignment="1"/>
    <xf numFmtId="10" fontId="16" fillId="0" borderId="17" xfId="2" applyNumberFormat="1" applyFont="1" applyBorder="1" applyAlignment="1"/>
    <xf numFmtId="10" fontId="16" fillId="0" borderId="19" xfId="2" applyNumberFormat="1" applyFont="1" applyBorder="1" applyAlignment="1"/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6" fillId="0" borderId="0" xfId="0" applyFont="1" applyBorder="1" applyAlignment="1">
      <alignment horizont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21" fillId="8" borderId="5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wrapText="1"/>
    </xf>
    <xf numFmtId="0" fontId="21" fillId="8" borderId="4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0" fontId="2" fillId="5" borderId="0" xfId="0" applyFont="1" applyFill="1" applyAlignment="1">
      <alignment horizontal="left"/>
    </xf>
    <xf numFmtId="10" fontId="2" fillId="5" borderId="0" xfId="0" applyNumberFormat="1" applyFont="1" applyFill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top"/>
    </xf>
    <xf numFmtId="14" fontId="29" fillId="12" borderId="0" xfId="0" applyNumberFormat="1" applyFont="1" applyFill="1" applyAlignment="1"/>
    <xf numFmtId="0" fontId="22" fillId="0" borderId="14" xfId="0" applyFont="1" applyBorder="1" applyAlignment="1">
      <alignment horizontal="left"/>
    </xf>
    <xf numFmtId="0" fontId="30" fillId="8" borderId="7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9" fontId="1" fillId="10" borderId="3" xfId="2" applyFont="1" applyFill="1" applyBorder="1" applyAlignment="1">
      <alignment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8" borderId="7" xfId="0" applyFont="1" applyFill="1" applyBorder="1" applyAlignment="1">
      <alignment horizontal="left" vertical="center" wrapText="1"/>
    </xf>
    <xf numFmtId="0" fontId="15" fillId="8" borderId="28" xfId="0" applyFont="1" applyFill="1" applyBorder="1" applyAlignment="1">
      <alignment horizontal="center" vertical="center"/>
    </xf>
    <xf numFmtId="3" fontId="1" fillId="8" borderId="1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8" fillId="0" borderId="19" xfId="0" applyNumberFormat="1" applyFont="1" applyFill="1" applyBorder="1" applyAlignment="1">
      <alignment horizontal="center" vertical="center"/>
    </xf>
    <xf numFmtId="164" fontId="8" fillId="10" borderId="14" xfId="1" applyFont="1" applyFill="1" applyBorder="1" applyAlignment="1">
      <alignment vertical="center"/>
    </xf>
    <xf numFmtId="165" fontId="8" fillId="10" borderId="7" xfId="2" applyNumberFormat="1" applyFont="1" applyFill="1" applyBorder="1" applyAlignment="1">
      <alignment vertical="center"/>
    </xf>
    <xf numFmtId="164" fontId="8" fillId="0" borderId="19" xfId="1" applyFont="1" applyFill="1" applyBorder="1" applyAlignment="1">
      <alignment horizontal="center" vertical="center"/>
    </xf>
    <xf numFmtId="164" fontId="8" fillId="11" borderId="9" xfId="0" applyNumberFormat="1" applyFont="1" applyFill="1" applyBorder="1" applyAlignment="1">
      <alignment horizontal="center" vertical="center"/>
    </xf>
    <xf numFmtId="10" fontId="8" fillId="11" borderId="7" xfId="2" applyNumberFormat="1" applyFont="1" applyFill="1" applyBorder="1" applyAlignment="1">
      <alignment horizontal="center" vertical="center"/>
    </xf>
    <xf numFmtId="0" fontId="30" fillId="8" borderId="7" xfId="0" applyFont="1" applyFill="1" applyBorder="1" applyAlignment="1">
      <alignment horizontal="left" wrapText="1"/>
    </xf>
    <xf numFmtId="0" fontId="15" fillId="8" borderId="8" xfId="0" applyFont="1" applyFill="1" applyBorder="1" applyAlignment="1">
      <alignment horizontal="center" vertical="top"/>
    </xf>
    <xf numFmtId="0" fontId="15" fillId="8" borderId="26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left" wrapText="1"/>
    </xf>
    <xf numFmtId="0" fontId="1" fillId="8" borderId="8" xfId="0" applyFont="1" applyFill="1" applyBorder="1" applyAlignment="1">
      <alignment horizontal="center" vertical="top"/>
    </xf>
    <xf numFmtId="3" fontId="1" fillId="8" borderId="56" xfId="0" applyNumberFormat="1" applyFont="1" applyFill="1" applyBorder="1" applyAlignment="1">
      <alignment horizontal="center" vertical="center"/>
    </xf>
    <xf numFmtId="0" fontId="1" fillId="8" borderId="72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8" borderId="73" xfId="0" applyFont="1" applyFill="1" applyBorder="1" applyAlignment="1">
      <alignment horizontal="left"/>
    </xf>
    <xf numFmtId="0" fontId="1" fillId="8" borderId="74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0" fontId="1" fillId="0" borderId="7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/>
    </xf>
    <xf numFmtId="9" fontId="1" fillId="10" borderId="12" xfId="2" applyFont="1" applyFill="1" applyBorder="1" applyAlignment="1"/>
    <xf numFmtId="164" fontId="1" fillId="0" borderId="76" xfId="1" applyFont="1" applyFill="1" applyBorder="1" applyAlignment="1">
      <alignment horizontal="center" vertical="center"/>
    </xf>
    <xf numFmtId="164" fontId="1" fillId="11" borderId="13" xfId="0" applyNumberFormat="1" applyFont="1" applyFill="1" applyBorder="1" applyAlignment="1">
      <alignment horizontal="center" vertical="center"/>
    </xf>
    <xf numFmtId="10" fontId="1" fillId="11" borderId="12" xfId="2" applyNumberFormat="1" applyFont="1" applyFill="1" applyBorder="1" applyAlignment="1">
      <alignment horizontal="center" vertical="center"/>
    </xf>
    <xf numFmtId="10" fontId="16" fillId="0" borderId="75" xfId="2" applyNumberFormat="1" applyFont="1" applyBorder="1" applyAlignment="1"/>
    <xf numFmtId="10" fontId="16" fillId="0" borderId="15" xfId="2" applyNumberFormat="1" applyFont="1" applyBorder="1" applyAlignment="1"/>
    <xf numFmtId="10" fontId="16" fillId="0" borderId="76" xfId="2" applyNumberFormat="1" applyFont="1" applyBorder="1" applyAlignment="1"/>
    <xf numFmtId="0" fontId="1" fillId="0" borderId="72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8" borderId="76" xfId="0" applyFont="1" applyFill="1" applyBorder="1" applyAlignment="1">
      <alignment horizontal="left" wrapText="1"/>
    </xf>
    <xf numFmtId="0" fontId="1" fillId="8" borderId="2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0" fontId="1" fillId="0" borderId="15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4" fontId="1" fillId="0" borderId="15" xfId="1" applyFont="1" applyFill="1" applyBorder="1" applyAlignment="1">
      <alignment horizontal="center" vertical="center"/>
    </xf>
    <xf numFmtId="164" fontId="1" fillId="11" borderId="15" xfId="0" applyNumberFormat="1" applyFont="1" applyFill="1" applyBorder="1" applyAlignment="1">
      <alignment horizontal="center" vertical="center"/>
    </xf>
    <xf numFmtId="10" fontId="1" fillId="11" borderId="15" xfId="2" applyNumberFormat="1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/>
    </xf>
    <xf numFmtId="4" fontId="1" fillId="8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10" fontId="1" fillId="0" borderId="8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/>
    </xf>
    <xf numFmtId="9" fontId="1" fillId="12" borderId="8" xfId="2" applyFont="1" applyFill="1" applyBorder="1" applyAlignment="1"/>
    <xf numFmtId="164" fontId="1" fillId="0" borderId="8" xfId="1" applyFont="1" applyFill="1" applyBorder="1" applyAlignment="1">
      <alignment horizontal="center" vertical="center"/>
    </xf>
    <xf numFmtId="164" fontId="1" fillId="11" borderId="8" xfId="0" applyNumberFormat="1" applyFont="1" applyFill="1" applyBorder="1" applyAlignment="1">
      <alignment horizontal="center" vertical="center"/>
    </xf>
    <xf numFmtId="10" fontId="1" fillId="11" borderId="8" xfId="2" applyNumberFormat="1" applyFont="1" applyFill="1" applyBorder="1" applyAlignment="1">
      <alignment horizontal="center" vertical="center"/>
    </xf>
    <xf numFmtId="10" fontId="16" fillId="0" borderId="8" xfId="2" applyNumberFormat="1" applyFont="1" applyBorder="1" applyAlignment="1"/>
    <xf numFmtId="10" fontId="16" fillId="0" borderId="4" xfId="2" applyNumberFormat="1" applyFont="1" applyBorder="1" applyAlignment="1"/>
    <xf numFmtId="0" fontId="30" fillId="8" borderId="7" xfId="0" applyFont="1" applyFill="1" applyBorder="1" applyAlignment="1">
      <alignment horizontal="left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0" fontId="15" fillId="0" borderId="19" xfId="2" applyNumberFormat="1" applyFont="1" applyFill="1" applyBorder="1" applyAlignment="1">
      <alignment horizontal="center" vertical="center"/>
    </xf>
    <xf numFmtId="10" fontId="14" fillId="9" borderId="0" xfId="0" applyNumberFormat="1" applyFont="1" applyFill="1" applyBorder="1" applyAlignment="1">
      <alignment vertical="center"/>
    </xf>
    <xf numFmtId="0" fontId="30" fillId="8" borderId="3" xfId="0" applyFont="1" applyFill="1" applyBorder="1" applyAlignment="1">
      <alignment horizontal="left" vertical="center" wrapText="1"/>
    </xf>
    <xf numFmtId="0" fontId="15" fillId="8" borderId="48" xfId="0" applyFont="1" applyFill="1" applyBorder="1" applyAlignment="1">
      <alignment horizontal="left" vertical="center" wrapText="1"/>
    </xf>
    <xf numFmtId="0" fontId="15" fillId="8" borderId="8" xfId="0" applyFont="1" applyFill="1" applyBorder="1" applyAlignment="1">
      <alignment horizontal="left" vertical="center" wrapText="1"/>
    </xf>
    <xf numFmtId="0" fontId="15" fillId="8" borderId="54" xfId="0" applyFont="1" applyFill="1" applyBorder="1" applyAlignment="1">
      <alignment horizontal="left" vertical="center" wrapText="1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0" fontId="1" fillId="0" borderId="7" xfId="2" applyNumberFormat="1" applyFont="1" applyFill="1" applyBorder="1" applyAlignment="1">
      <alignment horizontal="center" vertical="center"/>
    </xf>
    <xf numFmtId="4" fontId="1" fillId="10" borderId="17" xfId="1" applyNumberFormat="1" applyFont="1" applyFill="1" applyBorder="1" applyAlignment="1">
      <alignment horizontal="right" vertical="center"/>
    </xf>
    <xf numFmtId="10" fontId="1" fillId="10" borderId="7" xfId="2" applyNumberFormat="1" applyFont="1" applyFill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center" vertical="center"/>
    </xf>
    <xf numFmtId="164" fontId="15" fillId="11" borderId="9" xfId="0" applyNumberFormat="1" applyFont="1" applyFill="1" applyBorder="1" applyAlignment="1">
      <alignment horizontal="center" vertical="center"/>
    </xf>
    <xf numFmtId="10" fontId="15" fillId="11" borderId="7" xfId="2" applyNumberFormat="1" applyFont="1" applyFill="1" applyBorder="1" applyAlignment="1">
      <alignment horizontal="center" vertical="center"/>
    </xf>
    <xf numFmtId="4" fontId="1" fillId="10" borderId="17" xfId="0" applyNumberFormat="1" applyFont="1" applyFill="1" applyBorder="1" applyAlignment="1">
      <alignment horizontal="right" vertical="center"/>
    </xf>
    <xf numFmtId="4" fontId="1" fillId="10" borderId="26" xfId="1" applyNumberFormat="1" applyFont="1" applyFill="1" applyBorder="1" applyAlignment="1">
      <alignment horizontal="right" vertical="center"/>
    </xf>
    <xf numFmtId="10" fontId="1" fillId="0" borderId="3" xfId="0" applyNumberFormat="1" applyFont="1" applyFill="1" applyBorder="1" applyAlignment="1">
      <alignment horizontal="center" vertical="center"/>
    </xf>
    <xf numFmtId="4" fontId="1" fillId="10" borderId="17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9" fontId="1" fillId="10" borderId="3" xfId="2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31" fillId="8" borderId="3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left" wrapText="1"/>
    </xf>
    <xf numFmtId="3" fontId="1" fillId="0" borderId="20" xfId="0" applyNumberFormat="1" applyFont="1" applyFill="1" applyBorder="1" applyAlignment="1">
      <alignment horizontal="center"/>
    </xf>
    <xf numFmtId="10" fontId="1" fillId="0" borderId="22" xfId="0" applyNumberFormat="1" applyFont="1" applyFill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166" fontId="1" fillId="10" borderId="7" xfId="2" applyNumberFormat="1" applyFont="1" applyFill="1" applyBorder="1" applyAlignment="1">
      <alignment horizontal="center" vertical="center"/>
    </xf>
    <xf numFmtId="10" fontId="1" fillId="11" borderId="52" xfId="2" applyNumberFormat="1" applyFont="1" applyFill="1" applyBorder="1" applyAlignment="1">
      <alignment horizontal="center" vertical="center"/>
    </xf>
    <xf numFmtId="0" fontId="16" fillId="0" borderId="43" xfId="0" applyFont="1" applyBorder="1" applyAlignment="1">
      <alignment horizontal="left" wrapText="1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164" fontId="1" fillId="10" borderId="7" xfId="2" applyNumberFormat="1" applyFont="1" applyFill="1" applyBorder="1" applyAlignment="1">
      <alignment horizontal="center" vertical="center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left" vertical="center" wrapText="1"/>
    </xf>
    <xf numFmtId="14" fontId="1" fillId="0" borderId="48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0" fontId="15" fillId="0" borderId="7" xfId="2" applyNumberFormat="1" applyFont="1" applyFill="1" applyBorder="1" applyAlignment="1">
      <alignment horizontal="center" vertical="center"/>
    </xf>
    <xf numFmtId="3" fontId="16" fillId="0" borderId="44" xfId="0" applyNumberFormat="1" applyFont="1" applyBorder="1" applyAlignment="1">
      <alignment wrapText="1"/>
    </xf>
    <xf numFmtId="10" fontId="16" fillId="0" borderId="44" xfId="2" applyNumberFormat="1" applyFont="1" applyBorder="1" applyAlignment="1">
      <alignment wrapText="1"/>
    </xf>
    <xf numFmtId="164" fontId="16" fillId="0" borderId="44" xfId="0" applyNumberFormat="1" applyFont="1" applyBorder="1" applyAlignment="1">
      <alignment wrapText="1"/>
    </xf>
    <xf numFmtId="10" fontId="16" fillId="0" borderId="7" xfId="0" applyNumberFormat="1" applyFont="1" applyFill="1" applyBorder="1" applyAlignment="1">
      <alignment horizontal="center" vertical="center"/>
    </xf>
    <xf numFmtId="164" fontId="16" fillId="10" borderId="23" xfId="1" applyFont="1" applyFill="1" applyBorder="1" applyAlignment="1">
      <alignment vertical="center"/>
    </xf>
    <xf numFmtId="164" fontId="16" fillId="10" borderId="71" xfId="1" applyFont="1" applyFill="1" applyBorder="1" applyAlignment="1">
      <alignment vertical="center"/>
    </xf>
    <xf numFmtId="165" fontId="16" fillId="10" borderId="68" xfId="2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164" fontId="16" fillId="0" borderId="68" xfId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0" fontId="1" fillId="10" borderId="19" xfId="2" applyNumberFormat="1" applyFont="1" applyFill="1" applyBorder="1" applyAlignment="1">
      <alignment horizontal="center" vertical="center"/>
    </xf>
    <xf numFmtId="165" fontId="1" fillId="0" borderId="19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0" fontId="1" fillId="10" borderId="18" xfId="2" applyNumberFormat="1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8" borderId="54" xfId="0" applyFont="1" applyFill="1" applyBorder="1" applyAlignment="1">
      <alignment horizontal="left" vertical="center" wrapText="1"/>
    </xf>
    <xf numFmtId="9" fontId="1" fillId="10" borderId="19" xfId="2" applyFont="1" applyFill="1" applyBorder="1" applyAlignment="1">
      <alignment horizontal="center" vertical="center"/>
    </xf>
    <xf numFmtId="4" fontId="1" fillId="10" borderId="20" xfId="1" applyNumberFormat="1" applyFont="1" applyFill="1" applyBorder="1" applyAlignment="1">
      <alignment horizontal="right" vertical="center"/>
    </xf>
    <xf numFmtId="4" fontId="1" fillId="10" borderId="21" xfId="0" applyNumberFormat="1" applyFont="1" applyFill="1" applyBorder="1" applyAlignment="1">
      <alignment horizontal="right" vertical="center"/>
    </xf>
    <xf numFmtId="10" fontId="1" fillId="10" borderId="22" xfId="2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10" fontId="1" fillId="0" borderId="22" xfId="2" applyNumberFormat="1" applyFont="1" applyFill="1" applyBorder="1" applyAlignment="1">
      <alignment horizontal="center" vertical="center"/>
    </xf>
    <xf numFmtId="0" fontId="1" fillId="8" borderId="7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8" borderId="73" xfId="0" applyFont="1" applyFill="1" applyBorder="1" applyAlignment="1">
      <alignment horizontal="left" vertical="center"/>
    </xf>
    <xf numFmtId="4" fontId="1" fillId="10" borderId="67" xfId="1" applyNumberFormat="1" applyFont="1" applyFill="1" applyBorder="1" applyAlignment="1">
      <alignment horizontal="right" vertical="center"/>
    </xf>
    <xf numFmtId="4" fontId="1" fillId="10" borderId="37" xfId="0" applyNumberFormat="1" applyFont="1" applyFill="1" applyBorder="1" applyAlignment="1">
      <alignment horizontal="right" vertical="center"/>
    </xf>
    <xf numFmtId="10" fontId="16" fillId="0" borderId="75" xfId="2" applyNumberFormat="1" applyFont="1" applyBorder="1" applyAlignment="1">
      <alignment vertical="center"/>
    </xf>
    <xf numFmtId="10" fontId="16" fillId="0" borderId="15" xfId="2" applyNumberFormat="1" applyFont="1" applyBorder="1" applyAlignment="1">
      <alignment vertical="center"/>
    </xf>
    <xf numFmtId="10" fontId="16" fillId="0" borderId="76" xfId="2" applyNumberFormat="1" applyFont="1" applyBorder="1" applyAlignment="1">
      <alignment vertical="center"/>
    </xf>
    <xf numFmtId="0" fontId="1" fillId="10" borderId="37" xfId="0" applyFont="1" applyFill="1" applyBorder="1" applyAlignment="1">
      <alignment horizontal="center"/>
    </xf>
    <xf numFmtId="4" fontId="1" fillId="10" borderId="37" xfId="0" applyNumberFormat="1" applyFont="1" applyFill="1" applyBorder="1" applyAlignment="1">
      <alignment horizontal="center"/>
    </xf>
    <xf numFmtId="10" fontId="1" fillId="10" borderId="10" xfId="2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164" fontId="1" fillId="0" borderId="38" xfId="1" applyFont="1" applyFill="1" applyBorder="1" applyAlignment="1">
      <alignment horizontal="center" vertical="center"/>
    </xf>
    <xf numFmtId="10" fontId="15" fillId="0" borderId="78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10" fontId="16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0" applyNumberFormat="1"/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10" fontId="0" fillId="0" borderId="0" xfId="0" applyNumberFormat="1" applyBorder="1"/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3" fontId="1" fillId="0" borderId="56" xfId="0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 wrapText="1"/>
    </xf>
    <xf numFmtId="0" fontId="15" fillId="0" borderId="4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4" fontId="1" fillId="0" borderId="17" xfId="0" applyNumberFormat="1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6" fillId="0" borderId="9" xfId="0" applyNumberFormat="1" applyFont="1" applyFill="1" applyBorder="1" applyAlignment="1">
      <alignment horizontal="center" vertical="center"/>
    </xf>
    <xf numFmtId="10" fontId="1" fillId="0" borderId="3" xfId="2" applyNumberFormat="1" applyFont="1" applyFill="1" applyBorder="1" applyAlignment="1">
      <alignment horizontal="center" vertical="center"/>
    </xf>
    <xf numFmtId="10" fontId="16" fillId="0" borderId="7" xfId="2" applyNumberFormat="1" applyFont="1" applyFill="1" applyBorder="1" applyAlignment="1">
      <alignment horizontal="center" vertical="center"/>
    </xf>
    <xf numFmtId="9" fontId="1" fillId="0" borderId="19" xfId="2" applyFont="1" applyFill="1" applyBorder="1" applyAlignment="1">
      <alignment horizontal="center" vertical="center"/>
    </xf>
    <xf numFmtId="10" fontId="1" fillId="0" borderId="18" xfId="2" applyNumberFormat="1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vertical="center" wrapText="1"/>
    </xf>
    <xf numFmtId="10" fontId="16" fillId="0" borderId="17" xfId="2" applyNumberFormat="1" applyFont="1" applyFill="1" applyBorder="1" applyAlignment="1">
      <alignment vertical="center"/>
    </xf>
    <xf numFmtId="10" fontId="16" fillId="0" borderId="1" xfId="2" applyNumberFormat="1" applyFont="1" applyFill="1" applyBorder="1" applyAlignment="1">
      <alignment vertical="center"/>
    </xf>
    <xf numFmtId="10" fontId="16" fillId="0" borderId="19" xfId="2" applyNumberFormat="1" applyFont="1" applyFill="1" applyBorder="1" applyAlignment="1">
      <alignment vertical="center"/>
    </xf>
    <xf numFmtId="0" fontId="0" fillId="0" borderId="0" xfId="0" applyFill="1"/>
    <xf numFmtId="0" fontId="31" fillId="0" borderId="18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horizontal="center" vertical="center" wrapText="1"/>
    </xf>
    <xf numFmtId="164" fontId="15" fillId="0" borderId="14" xfId="0" applyNumberFormat="1" applyFont="1" applyBorder="1" applyAlignment="1"/>
    <xf numFmtId="0" fontId="8" fillId="0" borderId="6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10" fontId="15" fillId="0" borderId="16" xfId="0" applyNumberFormat="1" applyFont="1" applyBorder="1" applyAlignment="1">
      <alignment horizontal="center" vertical="center"/>
    </xf>
    <xf numFmtId="0" fontId="8" fillId="0" borderId="16" xfId="0" applyFont="1" applyBorder="1"/>
    <xf numFmtId="2" fontId="8" fillId="0" borderId="81" xfId="0" applyNumberFormat="1" applyFont="1" applyBorder="1" applyAlignment="1">
      <alignment vertical="center" wrapText="1"/>
    </xf>
    <xf numFmtId="2" fontId="8" fillId="0" borderId="82" xfId="0" applyNumberFormat="1" applyFont="1" applyBorder="1" applyAlignment="1">
      <alignment vertical="center" wrapText="1"/>
    </xf>
    <xf numFmtId="0" fontId="1" fillId="8" borderId="3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0" fontId="15" fillId="0" borderId="9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35" fillId="10" borderId="13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0" fontId="31" fillId="8" borderId="76" xfId="0" applyFont="1" applyFill="1" applyBorder="1" applyAlignment="1">
      <alignment vertical="center" wrapText="1"/>
    </xf>
    <xf numFmtId="0" fontId="8" fillId="0" borderId="5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5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4" fontId="8" fillId="0" borderId="14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4" fontId="0" fillId="0" borderId="0" xfId="0" applyNumberFormat="1"/>
    <xf numFmtId="4" fontId="14" fillId="0" borderId="0" xfId="0" applyNumberFormat="1" applyFont="1"/>
    <xf numFmtId="0" fontId="8" fillId="0" borderId="86" xfId="0" applyFont="1" applyBorder="1"/>
    <xf numFmtId="0" fontId="31" fillId="8" borderId="0" xfId="0" applyFont="1" applyFill="1" applyBorder="1" applyAlignment="1">
      <alignment vertical="center" wrapText="1"/>
    </xf>
    <xf numFmtId="1" fontId="16" fillId="0" borderId="44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5" xfId="0" applyFont="1" applyBorder="1" applyAlignment="1">
      <alignment vertical="center" wrapText="1"/>
    </xf>
    <xf numFmtId="0" fontId="0" fillId="0" borderId="10" xfId="0" applyBorder="1"/>
    <xf numFmtId="4" fontId="0" fillId="0" borderId="11" xfId="0" applyNumberFormat="1" applyBorder="1"/>
    <xf numFmtId="0" fontId="0" fillId="0" borderId="7" xfId="0" applyBorder="1"/>
    <xf numFmtId="4" fontId="14" fillId="0" borderId="9" xfId="0" applyNumberFormat="1" applyFont="1" applyBorder="1"/>
    <xf numFmtId="0" fontId="1" fillId="0" borderId="15" xfId="0" applyFont="1" applyBorder="1" applyAlignment="1">
      <alignment vertical="center"/>
    </xf>
    <xf numFmtId="4" fontId="0" fillId="0" borderId="13" xfId="0" applyNumberFormat="1" applyBorder="1"/>
    <xf numFmtId="4" fontId="14" fillId="0" borderId="13" xfId="0" applyNumberFormat="1" applyFont="1" applyBorder="1"/>
    <xf numFmtId="4" fontId="1" fillId="0" borderId="15" xfId="0" applyNumberFormat="1" applyFont="1" applyBorder="1" applyAlignment="1">
      <alignment vertical="center" wrapText="1"/>
    </xf>
    <xf numFmtId="4" fontId="0" fillId="0" borderId="11" xfId="0" applyNumberFormat="1" applyFont="1" applyBorder="1"/>
    <xf numFmtId="0" fontId="36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7" xfId="0" applyFont="1" applyBorder="1" applyAlignment="1">
      <alignment wrapText="1"/>
    </xf>
    <xf numFmtId="0" fontId="8" fillId="0" borderId="58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88" xfId="0" applyFont="1" applyBorder="1" applyAlignment="1">
      <alignment horizontal="center" vertical="center"/>
    </xf>
    <xf numFmtId="4" fontId="0" fillId="0" borderId="16" xfId="0" applyNumberFormat="1" applyBorder="1"/>
    <xf numFmtId="4" fontId="1" fillId="0" borderId="15" xfId="0" applyNumberFormat="1" applyFont="1" applyBorder="1" applyAlignment="1">
      <alignment vertical="center"/>
    </xf>
    <xf numFmtId="4" fontId="0" fillId="0" borderId="15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10" fontId="16" fillId="0" borderId="44" xfId="0" applyNumberFormat="1" applyFont="1" applyBorder="1" applyAlignment="1">
      <alignment horizontal="center" wrapText="1"/>
    </xf>
    <xf numFmtId="4" fontId="1" fillId="0" borderId="89" xfId="3" applyNumberFormat="1" applyFont="1" applyFill="1" applyAlignment="1">
      <alignment horizontal="right" vertical="center"/>
    </xf>
    <xf numFmtId="4" fontId="14" fillId="0" borderId="14" xfId="0" applyNumberFormat="1" applyFont="1" applyBorder="1"/>
    <xf numFmtId="10" fontId="1" fillId="0" borderId="14" xfId="0" applyNumberFormat="1" applyFont="1" applyBorder="1" applyAlignment="1">
      <alignment horizontal="center" vertical="center"/>
    </xf>
    <xf numFmtId="3" fontId="0" fillId="0" borderId="0" xfId="0" applyNumberFormat="1"/>
    <xf numFmtId="0" fontId="31" fillId="4" borderId="66" xfId="0" applyFont="1" applyFill="1" applyBorder="1" applyAlignment="1">
      <alignment horizontal="left" vertical="center" wrapText="1"/>
    </xf>
    <xf numFmtId="0" fontId="31" fillId="4" borderId="66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left"/>
    </xf>
    <xf numFmtId="164" fontId="31" fillId="0" borderId="14" xfId="0" applyNumberFormat="1" applyFont="1" applyBorder="1"/>
    <xf numFmtId="10" fontId="31" fillId="0" borderId="14" xfId="0" applyNumberFormat="1" applyFont="1" applyBorder="1"/>
    <xf numFmtId="0" fontId="31" fillId="0" borderId="1" xfId="0" applyFont="1" applyBorder="1" applyAlignment="1">
      <alignment horizontal="left"/>
    </xf>
    <xf numFmtId="10" fontId="31" fillId="0" borderId="1" xfId="0" applyNumberFormat="1" applyFont="1" applyBorder="1"/>
    <xf numFmtId="0" fontId="8" fillId="0" borderId="5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" fontId="8" fillId="0" borderId="79" xfId="0" applyNumberFormat="1" applyFont="1" applyBorder="1" applyAlignment="1">
      <alignment horizontal="center" vertical="center"/>
    </xf>
    <xf numFmtId="1" fontId="8" fillId="0" borderId="8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2" fontId="8" fillId="0" borderId="84" xfId="0" applyNumberFormat="1" applyFont="1" applyBorder="1" applyAlignment="1">
      <alignment horizontal="center" vertical="center" wrapText="1"/>
    </xf>
    <xf numFmtId="2" fontId="8" fillId="0" borderId="85" xfId="0" applyNumberFormat="1" applyFont="1" applyBorder="1" applyAlignment="1">
      <alignment horizontal="center" vertical="center" wrapText="1"/>
    </xf>
    <xf numFmtId="2" fontId="8" fillId="0" borderId="81" xfId="0" applyNumberFormat="1" applyFont="1" applyBorder="1" applyAlignment="1">
      <alignment horizontal="center" vertical="center" wrapText="1"/>
    </xf>
    <xf numFmtId="2" fontId="8" fillId="0" borderId="82" xfId="0" applyNumberFormat="1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3" xfId="0" applyFont="1" applyFill="1" applyBorder="1" applyAlignment="1">
      <alignment horizontal="left" vertical="center" wrapText="1"/>
    </xf>
    <xf numFmtId="0" fontId="22" fillId="8" borderId="47" xfId="0" applyFont="1" applyFill="1" applyBorder="1" applyAlignment="1">
      <alignment horizontal="left" vertical="center" wrapText="1"/>
    </xf>
    <xf numFmtId="0" fontId="22" fillId="8" borderId="50" xfId="0" applyFont="1" applyFill="1" applyBorder="1" applyAlignment="1">
      <alignment horizontal="left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5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 vertical="top"/>
    </xf>
    <xf numFmtId="0" fontId="1" fillId="8" borderId="46" xfId="0" applyFont="1" applyFill="1" applyBorder="1" applyAlignment="1">
      <alignment horizontal="left"/>
    </xf>
    <xf numFmtId="0" fontId="1" fillId="8" borderId="57" xfId="0" applyFont="1" applyFill="1" applyBorder="1" applyAlignment="1">
      <alignment horizontal="left"/>
    </xf>
    <xf numFmtId="0" fontId="1" fillId="8" borderId="55" xfId="0" applyFont="1" applyFill="1" applyBorder="1" applyAlignment="1">
      <alignment horizontal="left"/>
    </xf>
    <xf numFmtId="0" fontId="1" fillId="8" borderId="72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8" borderId="73" xfId="0" applyFont="1" applyFill="1" applyBorder="1" applyAlignment="1">
      <alignment horizontal="left"/>
    </xf>
    <xf numFmtId="0" fontId="16" fillId="0" borderId="50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8" borderId="54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7" xfId="0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left" vertical="center"/>
    </xf>
    <xf numFmtId="0" fontId="15" fillId="8" borderId="8" xfId="0" applyFont="1" applyFill="1" applyBorder="1" applyAlignment="1">
      <alignment horizontal="left" vertical="center"/>
    </xf>
    <xf numFmtId="0" fontId="15" fillId="8" borderId="54" xfId="0" applyFont="1" applyFill="1" applyBorder="1" applyAlignment="1">
      <alignment horizontal="left" vertical="center"/>
    </xf>
    <xf numFmtId="0" fontId="1" fillId="8" borderId="48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8" borderId="54" xfId="0" applyFont="1" applyFill="1" applyBorder="1" applyAlignment="1">
      <alignment horizontal="left"/>
    </xf>
    <xf numFmtId="0" fontId="1" fillId="8" borderId="48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8" borderId="54" xfId="0" applyFont="1" applyFill="1" applyBorder="1" applyAlignment="1">
      <alignment horizontal="left" vertical="center"/>
    </xf>
    <xf numFmtId="0" fontId="31" fillId="8" borderId="76" xfId="0" applyFont="1" applyFill="1" applyBorder="1" applyAlignment="1">
      <alignment horizontal="left" vertical="center" wrapText="1"/>
    </xf>
    <xf numFmtId="0" fontId="31" fillId="8" borderId="18" xfId="0" applyFont="1" applyFill="1" applyBorder="1" applyAlignment="1">
      <alignment horizontal="left" vertical="center" wrapText="1"/>
    </xf>
    <xf numFmtId="0" fontId="31" fillId="8" borderId="77" xfId="0" applyFont="1" applyFill="1" applyBorder="1" applyAlignment="1">
      <alignment horizontal="left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8" borderId="3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10" fontId="31" fillId="0" borderId="3" xfId="2" applyNumberFormat="1" applyFont="1" applyBorder="1" applyAlignment="1">
      <alignment horizontal="center"/>
    </xf>
    <xf numFmtId="10" fontId="31" fillId="0" borderId="4" xfId="2" applyNumberFormat="1" applyFont="1" applyBorder="1" applyAlignment="1">
      <alignment horizontal="center"/>
    </xf>
    <xf numFmtId="4" fontId="31" fillId="0" borderId="3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28" fillId="8" borderId="43" xfId="0" applyFont="1" applyFill="1" applyBorder="1" applyAlignment="1">
      <alignment horizontal="center" wrapText="1"/>
    </xf>
    <xf numFmtId="0" fontId="28" fillId="8" borderId="44" xfId="0" applyFont="1" applyFill="1" applyBorder="1" applyAlignment="1">
      <alignment horizontal="center" wrapText="1"/>
    </xf>
    <xf numFmtId="0" fontId="28" fillId="8" borderId="45" xfId="0" applyFont="1" applyFill="1" applyBorder="1" applyAlignment="1">
      <alignment horizontal="center" wrapText="1"/>
    </xf>
    <xf numFmtId="0" fontId="31" fillId="4" borderId="43" xfId="0" applyFont="1" applyFill="1" applyBorder="1" applyAlignment="1">
      <alignment horizontal="center" vertical="center" wrapText="1"/>
    </xf>
    <xf numFmtId="0" fontId="31" fillId="4" borderId="45" xfId="0" applyFont="1" applyFill="1" applyBorder="1" applyAlignment="1">
      <alignment horizontal="center" vertical="center" wrapText="1"/>
    </xf>
    <xf numFmtId="9" fontId="31" fillId="0" borderId="7" xfId="2" applyFont="1" applyBorder="1" applyAlignment="1">
      <alignment horizontal="center"/>
    </xf>
    <xf numFmtId="9" fontId="31" fillId="0" borderId="9" xfId="2" applyFont="1" applyBorder="1" applyAlignment="1">
      <alignment horizontal="center"/>
    </xf>
    <xf numFmtId="2" fontId="31" fillId="0" borderId="7" xfId="0" applyNumberFormat="1" applyFont="1" applyBorder="1" applyAlignment="1">
      <alignment horizontal="center"/>
    </xf>
    <xf numFmtId="2" fontId="31" fillId="0" borderId="9" xfId="0" applyNumberFormat="1" applyFont="1" applyBorder="1" applyAlignment="1">
      <alignment horizontal="center"/>
    </xf>
    <xf numFmtId="0" fontId="1" fillId="8" borderId="4" xfId="0" applyFont="1" applyFill="1" applyBorder="1" applyAlignment="1">
      <alignment vertical="center"/>
    </xf>
    <xf numFmtId="0" fontId="1" fillId="8" borderId="3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31" fillId="0" borderId="3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3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10" fontId="8" fillId="0" borderId="9" xfId="2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1" fillId="8" borderId="44" xfId="0" applyFont="1" applyFill="1" applyBorder="1" applyAlignment="1">
      <alignment horizontal="center" vertical="center" wrapText="1"/>
    </xf>
    <xf numFmtId="10" fontId="8" fillId="0" borderId="3" xfId="2" applyNumberFormat="1" applyFont="1" applyBorder="1" applyAlignment="1">
      <alignment horizontal="center" vertical="center"/>
    </xf>
    <xf numFmtId="10" fontId="8" fillId="0" borderId="4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tas" xfId="3" builtinId="1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%202021%20BID%203618%20Avance%20F&#237;sico%20Financiero%20Desemp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106</v>
          </cell>
          <cell r="H19">
            <v>32</v>
          </cell>
          <cell r="K19">
            <v>23136000</v>
          </cell>
          <cell r="L19">
            <v>6245000</v>
          </cell>
        </row>
        <row r="20">
          <cell r="G20">
            <v>86</v>
          </cell>
          <cell r="H20">
            <v>37</v>
          </cell>
          <cell r="K20">
            <v>22113000</v>
          </cell>
          <cell r="L20">
            <v>7805300</v>
          </cell>
        </row>
        <row r="21">
          <cell r="G21">
            <v>57</v>
          </cell>
          <cell r="K21">
            <v>876543</v>
          </cell>
          <cell r="L21">
            <v>0</v>
          </cell>
        </row>
        <row r="22">
          <cell r="G22">
            <v>18</v>
          </cell>
          <cell r="H22">
            <v>0</v>
          </cell>
          <cell r="K22">
            <v>268080</v>
          </cell>
          <cell r="L22">
            <v>0</v>
          </cell>
        </row>
        <row r="23">
          <cell r="G23">
            <v>12</v>
          </cell>
          <cell r="H23">
            <v>12</v>
          </cell>
          <cell r="K23">
            <v>1350000</v>
          </cell>
          <cell r="L23">
            <v>807438.92</v>
          </cell>
        </row>
        <row r="24">
          <cell r="G24">
            <v>538</v>
          </cell>
          <cell r="H24">
            <v>538</v>
          </cell>
          <cell r="K24">
            <v>45134286</v>
          </cell>
          <cell r="L24">
            <v>40323767.299999997</v>
          </cell>
        </row>
        <row r="25">
          <cell r="G25">
            <v>3331</v>
          </cell>
          <cell r="H25">
            <v>2754</v>
          </cell>
          <cell r="K25">
            <v>25974679</v>
          </cell>
          <cell r="L25">
            <v>24179760</v>
          </cell>
        </row>
        <row r="26">
          <cell r="G26">
            <v>1896</v>
          </cell>
          <cell r="H26">
            <v>0</v>
          </cell>
          <cell r="K26">
            <v>44405951</v>
          </cell>
          <cell r="L26">
            <v>0</v>
          </cell>
        </row>
        <row r="27">
          <cell r="G27">
            <v>477261</v>
          </cell>
          <cell r="H27">
            <v>477261</v>
          </cell>
          <cell r="K27">
            <v>8172139</v>
          </cell>
          <cell r="L27">
            <v>8172138.1900000004</v>
          </cell>
        </row>
        <row r="28">
          <cell r="K28">
            <v>12517326</v>
          </cell>
          <cell r="L28">
            <v>2970264.76</v>
          </cell>
        </row>
        <row r="29">
          <cell r="K29">
            <v>977300</v>
          </cell>
          <cell r="L29">
            <v>503376.25</v>
          </cell>
        </row>
        <row r="58">
          <cell r="H58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69"/>
  <sheetViews>
    <sheetView showGridLines="0" tabSelected="1" view="pageBreakPreview" topLeftCell="E21" zoomScaleNormal="75" zoomScaleSheetLayoutView="100" zoomScalePageLayoutView="55" workbookViewId="0">
      <selection activeCell="J64" sqref="J64"/>
    </sheetView>
  </sheetViews>
  <sheetFormatPr baseColWidth="10" defaultRowHeight="18.75" x14ac:dyDescent="0.3"/>
  <cols>
    <col min="1" max="1" width="21.7109375" style="3" customWidth="1"/>
    <col min="2" max="2" width="15.140625" style="1" customWidth="1"/>
    <col min="3" max="3" width="25.5703125" style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3.5703125" style="14" customWidth="1"/>
    <col min="11" max="11" width="23" style="2" customWidth="1"/>
    <col min="12" max="12" width="23.5703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9" width="11.42578125" style="1"/>
    <col min="20" max="20" width="15.5703125" style="1" bestFit="1" customWidth="1"/>
    <col min="21" max="22" width="11.42578125" style="1"/>
    <col min="23" max="23" width="14.7109375" style="1" bestFit="1" customWidth="1"/>
    <col min="24" max="24" width="16.140625" style="1" bestFit="1" customWidth="1"/>
    <col min="25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538" t="s">
        <v>0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539" t="s">
        <v>22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</row>
    <row r="5" spans="1:17" ht="8.25" customHeight="1" x14ac:dyDescent="0.35">
      <c r="A5" s="27"/>
      <c r="B5" s="28"/>
      <c r="C5" s="28"/>
      <c r="D5" s="29"/>
      <c r="E5" s="30"/>
      <c r="F5" s="30"/>
      <c r="G5" s="30"/>
      <c r="H5" s="31"/>
      <c r="I5" s="30"/>
      <c r="J5" s="31"/>
      <c r="K5" s="30"/>
      <c r="L5" s="28"/>
      <c r="M5" s="28"/>
      <c r="N5" s="28"/>
      <c r="O5" s="28"/>
      <c r="P5" s="28"/>
    </row>
    <row r="6" spans="1:17" ht="18.75" customHeight="1" x14ac:dyDescent="0.35">
      <c r="A6" s="540" t="s">
        <v>1</v>
      </c>
      <c r="B6" s="540"/>
      <c r="C6" s="81">
        <v>2022</v>
      </c>
      <c r="D6" s="16"/>
      <c r="E6" s="542" t="s">
        <v>8</v>
      </c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24"/>
    </row>
    <row r="7" spans="1:17" ht="18.75" customHeight="1" x14ac:dyDescent="0.35">
      <c r="A7" s="59"/>
      <c r="B7" s="59" t="s">
        <v>20</v>
      </c>
      <c r="C7" s="81" t="s">
        <v>191</v>
      </c>
      <c r="D7" s="16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24"/>
    </row>
    <row r="8" spans="1:17" ht="23.25" x14ac:dyDescent="0.35">
      <c r="A8" s="540" t="s">
        <v>3</v>
      </c>
      <c r="B8" s="540"/>
      <c r="C8" s="81">
        <v>11130008</v>
      </c>
      <c r="D8" s="16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24"/>
    </row>
    <row r="9" spans="1:17" ht="23.25" x14ac:dyDescent="0.35">
      <c r="A9" s="540" t="s">
        <v>2</v>
      </c>
      <c r="B9" s="540"/>
      <c r="C9" s="81" t="s">
        <v>89</v>
      </c>
      <c r="D9" s="16"/>
      <c r="E9" s="542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24"/>
    </row>
    <row r="10" spans="1:17" s="5" customFormat="1" ht="24.75" customHeight="1" x14ac:dyDescent="0.3">
      <c r="A10" s="541" t="s">
        <v>4</v>
      </c>
      <c r="B10" s="541"/>
      <c r="C10" s="81" t="s">
        <v>90</v>
      </c>
      <c r="D10" s="9"/>
      <c r="E10" s="542"/>
      <c r="F10" s="542"/>
      <c r="G10" s="542"/>
      <c r="H10" s="542"/>
      <c r="I10" s="542"/>
      <c r="J10" s="542"/>
      <c r="K10" s="542"/>
      <c r="L10" s="542"/>
      <c r="M10" s="542"/>
      <c r="N10" s="542"/>
      <c r="O10" s="542"/>
      <c r="P10" s="542"/>
      <c r="Q10" s="24"/>
    </row>
    <row r="11" spans="1:17" s="5" customFormat="1" ht="21" customHeight="1" x14ac:dyDescent="0.3">
      <c r="A11" s="60"/>
      <c r="B11" s="60" t="s">
        <v>13</v>
      </c>
      <c r="C11" s="81" t="s">
        <v>91</v>
      </c>
      <c r="D11" s="9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24"/>
    </row>
    <row r="12" spans="1:17" s="5" customFormat="1" ht="21" customHeight="1" x14ac:dyDescent="0.3">
      <c r="A12" s="60"/>
      <c r="B12" s="60"/>
      <c r="C12" s="82"/>
      <c r="D12" s="9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24"/>
    </row>
    <row r="13" spans="1:17" s="5" customFormat="1" ht="21" customHeight="1" x14ac:dyDescent="0.3">
      <c r="A13" s="26"/>
      <c r="B13" s="26"/>
      <c r="C13" s="11"/>
      <c r="D13" s="9"/>
      <c r="E13" s="542"/>
      <c r="F13" s="542"/>
      <c r="G13" s="542"/>
      <c r="H13" s="542"/>
      <c r="I13" s="542"/>
      <c r="J13" s="542"/>
      <c r="K13" s="542"/>
      <c r="L13" s="542"/>
      <c r="M13" s="542"/>
      <c r="N13" s="542"/>
      <c r="O13" s="542"/>
      <c r="P13" s="542"/>
      <c r="Q13" s="24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539" t="s">
        <v>23</v>
      </c>
      <c r="B15" s="539"/>
      <c r="C15" s="539"/>
      <c r="D15" s="539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539"/>
    </row>
    <row r="16" spans="1:17" ht="8.25" customHeight="1" x14ac:dyDescent="0.35">
      <c r="A16" s="27"/>
      <c r="B16" s="28"/>
      <c r="C16" s="28"/>
      <c r="D16" s="29"/>
      <c r="E16" s="30"/>
      <c r="F16" s="30"/>
      <c r="G16" s="30"/>
      <c r="H16" s="31"/>
      <c r="I16" s="30"/>
      <c r="J16" s="31"/>
      <c r="K16" s="30"/>
      <c r="L16" s="28"/>
      <c r="M16" s="28"/>
      <c r="N16" s="28"/>
      <c r="O16" s="28"/>
      <c r="P16" s="28"/>
    </row>
    <row r="17" spans="1:32" ht="42" x14ac:dyDescent="0.35">
      <c r="A17" s="78" t="s">
        <v>24</v>
      </c>
      <c r="B17" s="518" t="s">
        <v>21</v>
      </c>
      <c r="C17" s="543"/>
      <c r="D17" s="544"/>
      <c r="E17" s="58" t="s">
        <v>25</v>
      </c>
      <c r="F17" s="518" t="s">
        <v>26</v>
      </c>
      <c r="G17" s="515"/>
      <c r="H17" s="515"/>
      <c r="I17" s="516"/>
      <c r="J17" s="518" t="s">
        <v>27</v>
      </c>
      <c r="K17" s="515"/>
      <c r="L17" s="515"/>
      <c r="M17" s="516"/>
      <c r="N17" s="518" t="s">
        <v>28</v>
      </c>
      <c r="O17" s="515"/>
      <c r="P17" s="516"/>
      <c r="AD17" s="1">
        <v>15000</v>
      </c>
      <c r="AF17" s="1">
        <v>25250</v>
      </c>
    </row>
    <row r="18" spans="1:32" ht="50.25" customHeight="1" x14ac:dyDescent="0.3">
      <c r="A18" s="431" t="s">
        <v>104</v>
      </c>
      <c r="B18" s="432"/>
      <c r="C18" s="433"/>
      <c r="D18" s="430"/>
      <c r="E18" s="431"/>
      <c r="F18" s="430" t="s">
        <v>9</v>
      </c>
      <c r="G18" s="431" t="s">
        <v>10</v>
      </c>
      <c r="H18" s="431" t="s">
        <v>11</v>
      </c>
      <c r="I18" s="431" t="s">
        <v>12</v>
      </c>
      <c r="J18" s="431" t="s">
        <v>9</v>
      </c>
      <c r="K18" s="431" t="s">
        <v>10</v>
      </c>
      <c r="L18" s="431" t="s">
        <v>11</v>
      </c>
      <c r="M18" s="431" t="s">
        <v>12</v>
      </c>
      <c r="N18" s="495" t="s">
        <v>180</v>
      </c>
      <c r="O18" s="496"/>
      <c r="P18" s="497"/>
      <c r="AD18" s="1">
        <v>21900</v>
      </c>
      <c r="AF18" s="1">
        <v>25250</v>
      </c>
    </row>
    <row r="19" spans="1:32" ht="39.75" customHeight="1" x14ac:dyDescent="0.3">
      <c r="A19" s="582" t="s">
        <v>92</v>
      </c>
      <c r="B19" s="591" t="s">
        <v>98</v>
      </c>
      <c r="C19" s="591"/>
      <c r="D19" s="591"/>
      <c r="E19" s="179" t="s">
        <v>141</v>
      </c>
      <c r="F19" s="199">
        <v>2112</v>
      </c>
      <c r="G19" s="61">
        <v>1478</v>
      </c>
      <c r="H19" s="61">
        <v>0</v>
      </c>
      <c r="I19" s="61">
        <f>H19/G19*100</f>
        <v>0</v>
      </c>
      <c r="J19" s="188">
        <f>158465476+1137100</f>
        <v>159602576</v>
      </c>
      <c r="K19" s="180">
        <f>103479049+2748000+17463050</f>
        <v>123690099</v>
      </c>
      <c r="L19" s="180">
        <f>247500+31000+263650+42900+146322.56+61050+65300+188000+90000</f>
        <v>1135722.56</v>
      </c>
      <c r="M19" s="388">
        <f>L19/K19</f>
        <v>9.1820005738697009E-3</v>
      </c>
      <c r="N19" s="169"/>
      <c r="O19" s="169"/>
      <c r="P19" s="170"/>
      <c r="Z19" s="183" t="e">
        <f>#REF!-K31</f>
        <v>#REF!</v>
      </c>
      <c r="AD19" s="1">
        <v>15000</v>
      </c>
      <c r="AF19" s="1">
        <v>25250</v>
      </c>
    </row>
    <row r="20" spans="1:32" ht="39.75" customHeight="1" x14ac:dyDescent="0.3">
      <c r="A20" s="583"/>
      <c r="B20" s="553" t="s">
        <v>146</v>
      </c>
      <c r="C20" s="553"/>
      <c r="D20" s="553"/>
      <c r="E20" s="426" t="s">
        <v>97</v>
      </c>
      <c r="F20" s="199">
        <f>437+174</f>
        <v>611</v>
      </c>
      <c r="G20" s="61">
        <v>377</v>
      </c>
      <c r="H20" s="61">
        <f>21+48+19+17+9</f>
        <v>114</v>
      </c>
      <c r="I20" s="477">
        <f>H20/G20*100</f>
        <v>30.238726790450926</v>
      </c>
      <c r="J20" s="188">
        <f>118909077+1342900</f>
        <v>120251977</v>
      </c>
      <c r="K20" s="180">
        <f>93139926+4142500</f>
        <v>97282426</v>
      </c>
      <c r="L20" s="180">
        <f>341498.25+5145000+30000+222000+11710000+186000+4615000+4125000+386000+2205000+226000</f>
        <v>29191498.25</v>
      </c>
      <c r="M20" s="388">
        <f>L20/K20</f>
        <v>0.30006959581785103</v>
      </c>
      <c r="N20" s="169"/>
      <c r="O20" s="169"/>
      <c r="P20" s="170"/>
      <c r="Z20" s="183"/>
      <c r="AD20" s="1">
        <v>21900</v>
      </c>
      <c r="AF20" s="1">
        <v>25250</v>
      </c>
    </row>
    <row r="21" spans="1:32" ht="39.75" customHeight="1" x14ac:dyDescent="0.3">
      <c r="A21" s="583"/>
      <c r="B21" s="185" t="s">
        <v>144</v>
      </c>
      <c r="C21" s="186"/>
      <c r="D21" s="187"/>
      <c r="E21" s="181" t="s">
        <v>93</v>
      </c>
      <c r="F21" s="199">
        <v>1</v>
      </c>
      <c r="G21" s="61">
        <v>1</v>
      </c>
      <c r="H21" s="61">
        <v>0</v>
      </c>
      <c r="I21" s="61">
        <v>0</v>
      </c>
      <c r="J21" s="188">
        <v>19667198</v>
      </c>
      <c r="K21" s="180">
        <v>15086227</v>
      </c>
      <c r="L21" s="180">
        <v>0</v>
      </c>
      <c r="M21" s="388">
        <f>L21/K21</f>
        <v>0</v>
      </c>
      <c r="N21" s="116"/>
      <c r="O21" s="116"/>
      <c r="P21" s="23"/>
      <c r="AD21" s="1">
        <v>15000</v>
      </c>
      <c r="AF21" s="1">
        <v>25250</v>
      </c>
    </row>
    <row r="22" spans="1:32" ht="39.75" customHeight="1" x14ac:dyDescent="0.3">
      <c r="A22" s="583"/>
      <c r="B22" s="554" t="s">
        <v>149</v>
      </c>
      <c r="C22" s="555"/>
      <c r="D22" s="556"/>
      <c r="E22" s="184" t="s">
        <v>93</v>
      </c>
      <c r="F22" s="199">
        <v>319</v>
      </c>
      <c r="G22" s="61">
        <v>319</v>
      </c>
      <c r="H22" s="61">
        <v>0</v>
      </c>
      <c r="I22" s="61">
        <v>0</v>
      </c>
      <c r="J22" s="188">
        <v>19401816</v>
      </c>
      <c r="K22" s="180">
        <v>12357941</v>
      </c>
      <c r="L22" s="180">
        <v>0</v>
      </c>
      <c r="M22" s="388">
        <f>L22/K22</f>
        <v>0</v>
      </c>
      <c r="N22" s="545" t="s">
        <v>182</v>
      </c>
      <c r="O22" s="546"/>
      <c r="P22" s="547"/>
      <c r="AD22" s="1">
        <v>21900</v>
      </c>
      <c r="AF22" s="1">
        <v>25250</v>
      </c>
    </row>
    <row r="23" spans="1:32" ht="39.75" customHeight="1" x14ac:dyDescent="0.3">
      <c r="A23" s="583"/>
      <c r="B23" s="584" t="s">
        <v>101</v>
      </c>
      <c r="C23" s="585"/>
      <c r="D23" s="586"/>
      <c r="E23" s="181" t="s">
        <v>102</v>
      </c>
      <c r="F23" s="199">
        <v>446</v>
      </c>
      <c r="G23" s="61">
        <v>377</v>
      </c>
      <c r="H23" s="61">
        <v>0</v>
      </c>
      <c r="I23" s="61">
        <f>H23/G23*100</f>
        <v>0</v>
      </c>
      <c r="J23" s="188">
        <v>3749390</v>
      </c>
      <c r="K23" s="180">
        <v>9614666</v>
      </c>
      <c r="L23" s="180">
        <v>0</v>
      </c>
      <c r="M23" s="388">
        <f>L23/K23</f>
        <v>0</v>
      </c>
      <c r="N23" s="116"/>
      <c r="O23" s="116"/>
      <c r="P23" s="23"/>
      <c r="AD23" s="1">
        <v>21000</v>
      </c>
      <c r="AF23" s="1">
        <v>35999.65</v>
      </c>
    </row>
    <row r="24" spans="1:32" ht="38.25" customHeight="1" x14ac:dyDescent="0.3">
      <c r="A24" s="434" t="s">
        <v>111</v>
      </c>
      <c r="B24" s="367"/>
      <c r="C24" s="368"/>
      <c r="D24" s="369"/>
      <c r="E24" s="370"/>
      <c r="F24" s="201"/>
      <c r="G24" s="201"/>
      <c r="H24" s="201"/>
      <c r="I24" s="201"/>
      <c r="J24" s="276"/>
      <c r="K24" s="276"/>
      <c r="L24" s="201"/>
      <c r="M24" s="389"/>
      <c r="N24" s="116"/>
      <c r="O24" s="116"/>
      <c r="P24" s="23"/>
      <c r="AD24" s="1">
        <v>21000</v>
      </c>
      <c r="AF24" s="1">
        <v>35999.65</v>
      </c>
    </row>
    <row r="25" spans="1:32" ht="41.25" customHeight="1" x14ac:dyDescent="0.3">
      <c r="A25" s="582" t="s">
        <v>100</v>
      </c>
      <c r="B25" s="584" t="s">
        <v>99</v>
      </c>
      <c r="C25" s="585"/>
      <c r="D25" s="586"/>
      <c r="E25" s="181" t="s">
        <v>102</v>
      </c>
      <c r="F25" s="199">
        <v>982</v>
      </c>
      <c r="G25" s="61">
        <v>1896</v>
      </c>
      <c r="H25" s="61">
        <f>447+588</f>
        <v>1035</v>
      </c>
      <c r="I25" s="477">
        <f>H25/G25*100</f>
        <v>54.588607594936711</v>
      </c>
      <c r="J25" s="188">
        <f>2591404+13066500+477090+5407020+8119050+46364220+12517800</f>
        <v>88543084</v>
      </c>
      <c r="K25" s="481">
        <f>3426120+15235145+477090+5607900+10031970+78719850+15547110</f>
        <v>129045185</v>
      </c>
      <c r="L25" s="180">
        <v>74625125</v>
      </c>
      <c r="M25" s="388">
        <f>L25/K25</f>
        <v>0.57828678381142229</v>
      </c>
      <c r="N25" s="18"/>
      <c r="O25" s="18"/>
      <c r="P25" s="23"/>
      <c r="AD25" s="1">
        <v>15000</v>
      </c>
      <c r="AF25" s="1">
        <v>35999.65</v>
      </c>
    </row>
    <row r="26" spans="1:32" ht="18.75" customHeight="1" x14ac:dyDescent="0.3">
      <c r="A26" s="583"/>
      <c r="B26" s="185" t="s">
        <v>147</v>
      </c>
      <c r="C26" s="186"/>
      <c r="D26" s="187"/>
      <c r="E26" s="181" t="s">
        <v>96</v>
      </c>
      <c r="F26" s="61">
        <v>1</v>
      </c>
      <c r="G26" s="61">
        <v>1</v>
      </c>
      <c r="H26" s="61">
        <v>0</v>
      </c>
      <c r="I26" s="61">
        <v>0</v>
      </c>
      <c r="J26" s="188">
        <v>1705887</v>
      </c>
      <c r="K26" s="390">
        <v>1705887</v>
      </c>
      <c r="L26" s="180">
        <f>105000+210000</f>
        <v>315000</v>
      </c>
      <c r="M26" s="388">
        <f>L26/K26</f>
        <v>0.18465466938900407</v>
      </c>
      <c r="N26" s="116"/>
      <c r="O26" s="116"/>
      <c r="P26" s="23"/>
      <c r="AD26" s="1">
        <v>21900</v>
      </c>
      <c r="AF26" s="1">
        <v>35999.65</v>
      </c>
    </row>
    <row r="27" spans="1:32" x14ac:dyDescent="0.3">
      <c r="A27" s="590"/>
      <c r="B27" s="579" t="s">
        <v>140</v>
      </c>
      <c r="C27" s="580"/>
      <c r="D27" s="581"/>
      <c r="E27" s="181" t="s">
        <v>121</v>
      </c>
      <c r="F27" s="61">
        <v>3024</v>
      </c>
      <c r="G27" s="61">
        <v>2682</v>
      </c>
      <c r="H27" s="61">
        <v>0</v>
      </c>
      <c r="I27" s="61">
        <v>0</v>
      </c>
      <c r="J27" s="188">
        <f>18956300+8641600</f>
        <v>27597900</v>
      </c>
      <c r="K27" s="481">
        <f t="shared" ref="K27" si="0">J27</f>
        <v>27597900</v>
      </c>
      <c r="L27" s="180">
        <f>3956700+594880+2637800+2449040</f>
        <v>9638420</v>
      </c>
      <c r="M27" s="388">
        <f>L27/K27</f>
        <v>0.34924468890748933</v>
      </c>
      <c r="N27" s="17"/>
      <c r="O27" s="17"/>
      <c r="P27" s="20"/>
      <c r="AD27" s="1">
        <v>15000</v>
      </c>
      <c r="AF27" s="1">
        <v>35999.65</v>
      </c>
    </row>
    <row r="28" spans="1:32" x14ac:dyDescent="0.3">
      <c r="A28" s="435" t="s">
        <v>115</v>
      </c>
      <c r="B28" s="371"/>
      <c r="C28" s="372"/>
      <c r="D28" s="373"/>
      <c r="E28" s="370"/>
      <c r="F28" s="370"/>
      <c r="G28" s="370"/>
      <c r="H28" s="370"/>
      <c r="I28" s="201"/>
      <c r="J28" s="276"/>
      <c r="K28" s="276"/>
      <c r="L28" s="370"/>
      <c r="M28" s="389"/>
      <c r="N28" s="17"/>
      <c r="O28" s="17"/>
      <c r="P28" s="20"/>
      <c r="AD28" s="1">
        <v>21900</v>
      </c>
      <c r="AF28" s="1">
        <v>10000</v>
      </c>
    </row>
    <row r="29" spans="1:32" ht="47.25" customHeight="1" x14ac:dyDescent="0.3">
      <c r="A29" s="428" t="s">
        <v>94</v>
      </c>
      <c r="B29" s="579" t="s">
        <v>95</v>
      </c>
      <c r="C29" s="580"/>
      <c r="D29" s="581"/>
      <c r="E29" s="181" t="s">
        <v>96</v>
      </c>
      <c r="F29" s="61">
        <v>0</v>
      </c>
      <c r="G29" s="61">
        <v>0</v>
      </c>
      <c r="H29" s="61">
        <v>0</v>
      </c>
      <c r="I29" s="61">
        <v>0</v>
      </c>
      <c r="J29" s="188">
        <f>2976000+58568+115000+240000+69814+12900+12920+12900+48000+77440+77440</f>
        <v>3700982</v>
      </c>
      <c r="K29" s="481">
        <v>6194265</v>
      </c>
      <c r="L29" s="182">
        <f>3207443.54+6975+2435.42+169580</f>
        <v>3386433.96</v>
      </c>
      <c r="M29" s="388">
        <f>L29/K29</f>
        <v>0.54670472767955525</v>
      </c>
      <c r="N29" s="17"/>
      <c r="O29" s="17"/>
      <c r="P29" s="20"/>
      <c r="AD29" s="1">
        <v>21000</v>
      </c>
      <c r="AF29" s="1">
        <f>SUM(AF17:AF28)</f>
        <v>341498.25</v>
      </c>
    </row>
    <row r="30" spans="1:32" ht="47.25" customHeight="1" x14ac:dyDescent="0.3">
      <c r="A30" s="429"/>
      <c r="B30" s="587" t="s">
        <v>189</v>
      </c>
      <c r="C30" s="588"/>
      <c r="D30" s="589"/>
      <c r="E30" s="181" t="s">
        <v>126</v>
      </c>
      <c r="F30" s="61">
        <v>1</v>
      </c>
      <c r="G30" s="61">
        <v>1</v>
      </c>
      <c r="H30" s="61">
        <v>0</v>
      </c>
      <c r="I30" s="61">
        <v>0</v>
      </c>
      <c r="J30" s="390">
        <f>66000+100000+691850+85000+1450000+3286340</f>
        <v>5679190</v>
      </c>
      <c r="K30" s="390">
        <f>J30</f>
        <v>5679190</v>
      </c>
      <c r="L30" s="180">
        <v>0</v>
      </c>
      <c r="M30" s="388">
        <f>L30/K30</f>
        <v>0</v>
      </c>
      <c r="N30" s="17"/>
      <c r="O30" s="17"/>
      <c r="P30" s="20"/>
      <c r="AD30" s="1">
        <f>SUM(AD17:AD29)</f>
        <v>247500</v>
      </c>
    </row>
    <row r="31" spans="1:32" x14ac:dyDescent="0.3">
      <c r="A31" s="177"/>
      <c r="B31" s="19"/>
      <c r="C31" s="63"/>
      <c r="D31" s="62"/>
      <c r="E31" s="25"/>
      <c r="F31" s="420">
        <f>SUM(F19:F30)</f>
        <v>7497</v>
      </c>
      <c r="G31" s="421">
        <f>SUM(G19:G30)</f>
        <v>7132</v>
      </c>
      <c r="H31" s="421">
        <f>SUM(H19:H30)</f>
        <v>1149</v>
      </c>
      <c r="I31" s="478">
        <f>H31/G31*100</f>
        <v>16.110487941671341</v>
      </c>
      <c r="J31" s="189">
        <f>SUM(J19:J30)</f>
        <v>449900000</v>
      </c>
      <c r="K31" s="189">
        <f>SUM(K19:K30)</f>
        <v>428253786</v>
      </c>
      <c r="L31" s="405">
        <f>SUM(L19:L30)</f>
        <v>118292199.77</v>
      </c>
      <c r="M31" s="413">
        <f>L31/K31</f>
        <v>0.27621985756361767</v>
      </c>
      <c r="N31" s="63"/>
      <c r="O31" s="63"/>
      <c r="P31" s="62"/>
    </row>
    <row r="32" spans="1:32" s="5" customFormat="1" ht="7.5" customHeight="1" x14ac:dyDescent="0.35">
      <c r="A32" s="32"/>
      <c r="B32" s="33"/>
      <c r="C32" s="33"/>
      <c r="D32" s="34"/>
      <c r="E32" s="35"/>
      <c r="F32" s="35"/>
      <c r="G32" s="35"/>
      <c r="H32" s="36"/>
      <c r="I32" s="35"/>
      <c r="J32" s="36"/>
      <c r="K32" s="37"/>
      <c r="L32" s="38"/>
      <c r="M32" s="178"/>
      <c r="N32" s="38"/>
      <c r="O32" s="38"/>
      <c r="P32" s="38"/>
    </row>
    <row r="33" spans="1:16" ht="21" x14ac:dyDescent="0.35">
      <c r="A33" s="539" t="s">
        <v>29</v>
      </c>
      <c r="B33" s="539"/>
      <c r="C33" s="539"/>
      <c r="D33" s="539"/>
      <c r="E33" s="539"/>
      <c r="F33" s="539"/>
      <c r="G33" s="539"/>
      <c r="H33" s="539"/>
      <c r="I33" s="539"/>
      <c r="J33" s="539"/>
      <c r="K33" s="539"/>
      <c r="L33" s="539"/>
      <c r="M33" s="539"/>
      <c r="N33" s="539"/>
      <c r="O33" s="539"/>
      <c r="P33" s="539"/>
    </row>
    <row r="34" spans="1:16" ht="8.25" customHeight="1" x14ac:dyDescent="0.35">
      <c r="A34" s="27"/>
      <c r="B34" s="28"/>
      <c r="C34" s="28"/>
      <c r="D34" s="29"/>
      <c r="E34" s="30"/>
      <c r="F34" s="30"/>
      <c r="G34" s="30"/>
      <c r="H34" s="31"/>
      <c r="I34" s="30"/>
      <c r="J34" s="31"/>
      <c r="K34" s="30"/>
      <c r="L34" s="28"/>
      <c r="M34" s="28"/>
      <c r="N34" s="28"/>
      <c r="O34" s="28"/>
      <c r="P34" s="28"/>
    </row>
    <row r="35" spans="1:16" ht="29.25" customHeight="1" x14ac:dyDescent="0.35">
      <c r="A35" s="79"/>
      <c r="B35" s="80"/>
      <c r="C35" s="80"/>
      <c r="D35" s="80"/>
      <c r="E35" s="80"/>
      <c r="F35" s="80"/>
      <c r="G35" s="80"/>
      <c r="H35" s="80"/>
      <c r="I35" s="535" t="s">
        <v>19</v>
      </c>
      <c r="J35" s="536"/>
      <c r="K35" s="536"/>
      <c r="L35" s="536"/>
      <c r="M35" s="536"/>
      <c r="N35" s="536"/>
      <c r="O35" s="536"/>
      <c r="P35" s="537"/>
    </row>
    <row r="36" spans="1:16" ht="60" customHeight="1" x14ac:dyDescent="0.3">
      <c r="A36" s="548" t="s">
        <v>30</v>
      </c>
      <c r="B36" s="548"/>
      <c r="C36" s="548" t="s">
        <v>31</v>
      </c>
      <c r="D36" s="548"/>
      <c r="E36" s="548"/>
      <c r="F36" s="548"/>
      <c r="G36" s="548" t="s">
        <v>51</v>
      </c>
      <c r="H36" s="548"/>
      <c r="I36" s="548" t="s">
        <v>52</v>
      </c>
      <c r="J36" s="548"/>
      <c r="K36" s="548" t="s">
        <v>53</v>
      </c>
      <c r="L36" s="548" t="s">
        <v>54</v>
      </c>
      <c r="M36" s="548" t="s">
        <v>55</v>
      </c>
      <c r="N36" s="548"/>
      <c r="O36" s="548"/>
      <c r="P36" s="548" t="s">
        <v>56</v>
      </c>
    </row>
    <row r="37" spans="1:16" ht="46.5" customHeight="1" thickBot="1" x14ac:dyDescent="0.35">
      <c r="A37" s="548"/>
      <c r="B37" s="548"/>
      <c r="C37" s="548"/>
      <c r="D37" s="548"/>
      <c r="E37" s="548"/>
      <c r="F37" s="548"/>
      <c r="G37" s="548"/>
      <c r="H37" s="548"/>
      <c r="I37" s="548"/>
      <c r="J37" s="548"/>
      <c r="K37" s="549"/>
      <c r="L37" s="549"/>
      <c r="M37" s="548"/>
      <c r="N37" s="548"/>
      <c r="O37" s="548"/>
      <c r="P37" s="548"/>
    </row>
    <row r="38" spans="1:16" ht="36" customHeight="1" thickTop="1" thickBot="1" x14ac:dyDescent="0.4">
      <c r="A38" s="592" t="s">
        <v>92</v>
      </c>
      <c r="B38" s="593"/>
      <c r="C38" s="550" t="s">
        <v>98</v>
      </c>
      <c r="D38" s="551"/>
      <c r="E38" s="551"/>
      <c r="F38" s="552"/>
      <c r="G38" s="572">
        <v>1478</v>
      </c>
      <c r="H38" s="573"/>
      <c r="I38" s="557">
        <v>1478</v>
      </c>
      <c r="J38" s="558"/>
      <c r="K38" s="407">
        <v>1478</v>
      </c>
      <c r="L38" s="407">
        <v>0</v>
      </c>
      <c r="M38" s="572" t="s">
        <v>142</v>
      </c>
      <c r="N38" s="578"/>
      <c r="O38" s="573"/>
      <c r="P38" s="117"/>
    </row>
    <row r="39" spans="1:16" ht="36" customHeight="1" thickTop="1" thickBot="1" x14ac:dyDescent="0.4">
      <c r="A39" s="594"/>
      <c r="B39" s="595"/>
      <c r="C39" s="550" t="s">
        <v>146</v>
      </c>
      <c r="D39" s="551"/>
      <c r="E39" s="551"/>
      <c r="F39" s="552"/>
      <c r="G39" s="570">
        <v>377</v>
      </c>
      <c r="H39" s="571"/>
      <c r="I39" s="533">
        <v>377</v>
      </c>
      <c r="J39" s="534"/>
      <c r="K39" s="408">
        <v>377</v>
      </c>
      <c r="L39" s="408">
        <f>21+48+19+17+9</f>
        <v>114</v>
      </c>
      <c r="M39" s="492" t="s">
        <v>142</v>
      </c>
      <c r="N39" s="493"/>
      <c r="O39" s="494"/>
      <c r="P39" s="414"/>
    </row>
    <row r="40" spans="1:16" ht="36" customHeight="1" thickTop="1" thickBot="1" x14ac:dyDescent="0.4">
      <c r="A40" s="594"/>
      <c r="B40" s="595"/>
      <c r="C40" s="550" t="s">
        <v>144</v>
      </c>
      <c r="D40" s="551"/>
      <c r="E40" s="551"/>
      <c r="F40" s="552"/>
      <c r="G40" s="570">
        <v>1</v>
      </c>
      <c r="H40" s="571"/>
      <c r="I40" s="533">
        <v>1</v>
      </c>
      <c r="J40" s="534"/>
      <c r="K40" s="408">
        <v>1</v>
      </c>
      <c r="L40" s="408">
        <v>0</v>
      </c>
      <c r="M40" s="492" t="s">
        <v>142</v>
      </c>
      <c r="N40" s="493"/>
      <c r="O40" s="494"/>
      <c r="P40" s="117"/>
    </row>
    <row r="41" spans="1:16" ht="46.5" customHeight="1" thickTop="1" thickBot="1" x14ac:dyDescent="0.4">
      <c r="A41" s="594"/>
      <c r="B41" s="595"/>
      <c r="C41" s="567" t="s">
        <v>149</v>
      </c>
      <c r="D41" s="568"/>
      <c r="E41" s="568"/>
      <c r="F41" s="569"/>
      <c r="G41" s="570">
        <v>319</v>
      </c>
      <c r="H41" s="571"/>
      <c r="I41" s="533">
        <v>319</v>
      </c>
      <c r="J41" s="534"/>
      <c r="K41" s="408">
        <v>319</v>
      </c>
      <c r="L41" s="408">
        <v>0</v>
      </c>
      <c r="M41" s="492" t="s">
        <v>182</v>
      </c>
      <c r="N41" s="493"/>
      <c r="O41" s="494"/>
      <c r="P41" s="117"/>
    </row>
    <row r="42" spans="1:16" ht="36" customHeight="1" thickTop="1" thickBot="1" x14ac:dyDescent="0.4">
      <c r="A42" s="594"/>
      <c r="B42" s="595"/>
      <c r="C42" s="550" t="s">
        <v>101</v>
      </c>
      <c r="D42" s="551"/>
      <c r="E42" s="551"/>
      <c r="F42" s="552"/>
      <c r="G42" s="570">
        <v>377</v>
      </c>
      <c r="H42" s="571"/>
      <c r="I42" s="533">
        <v>377</v>
      </c>
      <c r="J42" s="534"/>
      <c r="K42" s="408">
        <v>377</v>
      </c>
      <c r="L42" s="408">
        <v>0</v>
      </c>
      <c r="M42" s="492" t="s">
        <v>142</v>
      </c>
      <c r="N42" s="493"/>
      <c r="O42" s="494"/>
      <c r="P42" s="117"/>
    </row>
    <row r="43" spans="1:16" ht="36" hidden="1" customHeight="1" thickTop="1" thickBot="1" x14ac:dyDescent="0.4">
      <c r="A43" s="415"/>
      <c r="B43" s="416"/>
      <c r="C43" s="550"/>
      <c r="D43" s="551"/>
      <c r="E43" s="551"/>
      <c r="F43" s="552"/>
      <c r="G43" s="409"/>
      <c r="H43" s="410"/>
      <c r="I43" s="411"/>
      <c r="J43" s="412"/>
      <c r="K43" s="408"/>
      <c r="L43" s="408"/>
      <c r="M43" s="440"/>
      <c r="N43" s="441"/>
      <c r="O43" s="442"/>
      <c r="P43" s="117"/>
    </row>
    <row r="44" spans="1:16" ht="36" hidden="1" customHeight="1" thickTop="1" thickBot="1" x14ac:dyDescent="0.4">
      <c r="A44" s="120"/>
      <c r="B44" s="121"/>
      <c r="C44" s="550"/>
      <c r="D44" s="551"/>
      <c r="E44" s="551"/>
      <c r="F44" s="552"/>
      <c r="G44" s="409"/>
      <c r="H44" s="410"/>
      <c r="I44" s="411"/>
      <c r="J44" s="412"/>
      <c r="K44" s="408"/>
      <c r="L44" s="408"/>
      <c r="M44" s="443"/>
      <c r="N44" s="444"/>
      <c r="O44" s="442"/>
      <c r="P44" s="117"/>
    </row>
    <row r="45" spans="1:16" ht="36" customHeight="1" thickTop="1" thickBot="1" x14ac:dyDescent="0.4">
      <c r="A45" s="574" t="s">
        <v>145</v>
      </c>
      <c r="B45" s="575"/>
      <c r="C45" s="550" t="s">
        <v>99</v>
      </c>
      <c r="D45" s="551"/>
      <c r="E45" s="551"/>
      <c r="F45" s="552"/>
      <c r="G45" s="570">
        <v>1896</v>
      </c>
      <c r="H45" s="571"/>
      <c r="I45" s="533">
        <v>1896</v>
      </c>
      <c r="J45" s="534"/>
      <c r="K45" s="408">
        <v>1896</v>
      </c>
      <c r="L45" s="408">
        <f>447+588</f>
        <v>1035</v>
      </c>
      <c r="M45" s="492" t="s">
        <v>142</v>
      </c>
      <c r="N45" s="493"/>
      <c r="O45" s="494"/>
      <c r="P45" s="117"/>
    </row>
    <row r="46" spans="1:16" ht="36" customHeight="1" thickTop="1" thickBot="1" x14ac:dyDescent="0.4">
      <c r="A46" s="594"/>
      <c r="B46" s="595"/>
      <c r="C46" s="550" t="s">
        <v>150</v>
      </c>
      <c r="D46" s="551"/>
      <c r="E46" s="551"/>
      <c r="F46" s="552"/>
      <c r="G46" s="570">
        <v>1</v>
      </c>
      <c r="H46" s="571"/>
      <c r="I46" s="533">
        <v>1</v>
      </c>
      <c r="J46" s="534"/>
      <c r="K46" s="408">
        <v>1</v>
      </c>
      <c r="L46" s="408">
        <v>0</v>
      </c>
      <c r="M46" s="492" t="s">
        <v>142</v>
      </c>
      <c r="N46" s="493"/>
      <c r="O46" s="494"/>
      <c r="P46" s="117"/>
    </row>
    <row r="47" spans="1:16" ht="36" customHeight="1" thickTop="1" thickBot="1" x14ac:dyDescent="0.4">
      <c r="A47" s="576"/>
      <c r="B47" s="577"/>
      <c r="C47" s="550" t="s">
        <v>143</v>
      </c>
      <c r="D47" s="551"/>
      <c r="E47" s="551"/>
      <c r="F47" s="552"/>
      <c r="G47" s="570">
        <v>2682</v>
      </c>
      <c r="H47" s="571"/>
      <c r="I47" s="533">
        <v>2682</v>
      </c>
      <c r="J47" s="534"/>
      <c r="K47" s="408">
        <v>2682</v>
      </c>
      <c r="L47" s="406">
        <v>0</v>
      </c>
      <c r="M47" s="492" t="s">
        <v>142</v>
      </c>
      <c r="N47" s="493"/>
      <c r="O47" s="494"/>
      <c r="P47" s="117"/>
    </row>
    <row r="48" spans="1:16" ht="36" customHeight="1" thickTop="1" thickBot="1" x14ac:dyDescent="0.4">
      <c r="A48" s="574" t="s">
        <v>94</v>
      </c>
      <c r="B48" s="575"/>
      <c r="C48" s="550" t="s">
        <v>95</v>
      </c>
      <c r="D48" s="551"/>
      <c r="E48" s="551"/>
      <c r="F48" s="552"/>
      <c r="G48" s="570">
        <v>0</v>
      </c>
      <c r="H48" s="571"/>
      <c r="I48" s="533">
        <v>0</v>
      </c>
      <c r="J48" s="534">
        <v>0</v>
      </c>
      <c r="K48" s="408">
        <v>0</v>
      </c>
      <c r="L48" s="406">
        <v>0</v>
      </c>
      <c r="M48" s="492" t="s">
        <v>142</v>
      </c>
      <c r="N48" s="493"/>
      <c r="O48" s="494"/>
      <c r="P48" s="453"/>
    </row>
    <row r="49" spans="1:16" ht="48" customHeight="1" thickTop="1" thickBot="1" x14ac:dyDescent="0.4">
      <c r="A49" s="576"/>
      <c r="B49" s="577"/>
      <c r="C49" s="567" t="s">
        <v>117</v>
      </c>
      <c r="D49" s="568"/>
      <c r="E49" s="568"/>
      <c r="F49" s="569"/>
      <c r="G49" s="570">
        <v>1</v>
      </c>
      <c r="H49" s="571"/>
      <c r="I49" s="533">
        <v>1</v>
      </c>
      <c r="J49" s="534">
        <v>0</v>
      </c>
      <c r="K49" s="408">
        <v>1</v>
      </c>
      <c r="L49" s="406">
        <v>0</v>
      </c>
      <c r="M49" s="492" t="s">
        <v>142</v>
      </c>
      <c r="N49" s="493"/>
      <c r="O49" s="494"/>
      <c r="P49" s="453"/>
    </row>
    <row r="50" spans="1:16" ht="36" customHeight="1" thickTop="1" thickBot="1" x14ac:dyDescent="0.4">
      <c r="A50" s="123"/>
      <c r="B50" s="470"/>
      <c r="C50" s="471"/>
      <c r="D50" s="469"/>
      <c r="E50" s="472"/>
      <c r="F50" s="121"/>
      <c r="G50" s="570">
        <f>SUM(G38:H49)</f>
        <v>7132</v>
      </c>
      <c r="H50" s="571"/>
      <c r="I50" s="533">
        <f>SUM(I38:J49)</f>
        <v>7132</v>
      </c>
      <c r="J50" s="571"/>
      <c r="K50" s="473">
        <f>SUM(K38:K49)</f>
        <v>7132</v>
      </c>
      <c r="L50" s="473">
        <f>SUM(L38:L49)</f>
        <v>1149</v>
      </c>
      <c r="M50" s="492"/>
      <c r="N50" s="493"/>
      <c r="O50" s="494"/>
      <c r="P50" s="118"/>
    </row>
    <row r="51" spans="1:16" ht="36" customHeight="1" thickTop="1" x14ac:dyDescent="0.35">
      <c r="A51" s="559"/>
      <c r="B51" s="559"/>
      <c r="C51" s="559"/>
      <c r="D51" s="122"/>
      <c r="E51" s="114"/>
      <c r="F51" s="566"/>
      <c r="G51" s="566"/>
      <c r="H51" s="49"/>
      <c r="I51" s="114"/>
      <c r="J51" s="49"/>
      <c r="K51" s="119"/>
      <c r="L51" s="566"/>
      <c r="M51" s="566"/>
      <c r="N51" s="566"/>
      <c r="O51" s="40"/>
      <c r="P51" s="40"/>
    </row>
    <row r="52" spans="1:16" ht="13.5" customHeight="1" x14ac:dyDescent="0.35">
      <c r="A52" s="71"/>
      <c r="B52" s="72"/>
      <c r="C52" s="72"/>
      <c r="D52" s="73"/>
      <c r="E52" s="74"/>
      <c r="F52" s="74"/>
      <c r="G52" s="74"/>
      <c r="H52" s="75"/>
      <c r="I52" s="74"/>
      <c r="J52" s="75"/>
      <c r="K52" s="76"/>
      <c r="L52" s="77"/>
      <c r="M52" s="77"/>
      <c r="N52" s="77"/>
      <c r="O52" s="77"/>
      <c r="P52" s="77"/>
    </row>
    <row r="53" spans="1:16" ht="25.5" customHeight="1" x14ac:dyDescent="0.35">
      <c r="A53" s="501" t="s">
        <v>32</v>
      </c>
      <c r="B53" s="502"/>
      <c r="C53" s="502"/>
      <c r="D53" s="502"/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3"/>
    </row>
    <row r="54" spans="1:16" ht="12.75" customHeight="1" x14ac:dyDescent="0.35">
      <c r="A54" s="64"/>
      <c r="B54" s="65"/>
      <c r="C54" s="65"/>
      <c r="D54" s="66"/>
      <c r="E54" s="67"/>
      <c r="F54" s="67"/>
      <c r="G54" s="67"/>
      <c r="H54" s="68"/>
      <c r="I54" s="30"/>
      <c r="J54" s="31"/>
      <c r="K54" s="30"/>
      <c r="L54" s="28"/>
      <c r="M54" s="28"/>
      <c r="N54" s="28"/>
      <c r="O54" s="28"/>
      <c r="P54" s="28"/>
    </row>
    <row r="55" spans="1:16" ht="21" customHeight="1" x14ac:dyDescent="0.35">
      <c r="A55" s="39" t="s">
        <v>5</v>
      </c>
      <c r="B55" s="40"/>
      <c r="C55" s="40"/>
      <c r="D55" s="41"/>
      <c r="E55" s="42"/>
      <c r="F55" s="42"/>
      <c r="G55" s="42"/>
      <c r="H55" s="43"/>
      <c r="I55" s="504" t="s">
        <v>35</v>
      </c>
      <c r="J55" s="505"/>
      <c r="K55" s="505"/>
      <c r="L55" s="505"/>
      <c r="M55" s="505"/>
      <c r="N55" s="505"/>
      <c r="O55" s="505"/>
      <c r="P55" s="506"/>
    </row>
    <row r="56" spans="1:16" ht="31.5" customHeight="1" x14ac:dyDescent="0.35">
      <c r="A56" s="514" t="s">
        <v>33</v>
      </c>
      <c r="B56" s="515"/>
      <c r="C56" s="515"/>
      <c r="D56" s="515"/>
      <c r="E56" s="516"/>
      <c r="F56" s="46"/>
      <c r="G56" s="46"/>
      <c r="H56" s="47"/>
      <c r="I56" s="48"/>
      <c r="J56" s="49"/>
      <c r="K56" s="42"/>
      <c r="L56" s="40"/>
      <c r="M56" s="40"/>
      <c r="N56" s="40"/>
      <c r="O56" s="40"/>
      <c r="P56" s="50"/>
    </row>
    <row r="57" spans="1:16" ht="56.25" customHeight="1" x14ac:dyDescent="0.35">
      <c r="A57" s="511" t="s">
        <v>6</v>
      </c>
      <c r="B57" s="511"/>
      <c r="C57" s="511"/>
      <c r="D57" s="511" t="s">
        <v>7</v>
      </c>
      <c r="E57" s="511"/>
      <c r="F57" s="42"/>
      <c r="G57" s="42"/>
      <c r="H57" s="43"/>
      <c r="I57" s="48"/>
      <c r="J57" s="49"/>
      <c r="K57" s="42"/>
      <c r="L57" s="40"/>
      <c r="M57" s="40"/>
      <c r="N57" s="40"/>
      <c r="O57" s="40"/>
      <c r="P57" s="50"/>
    </row>
    <row r="58" spans="1:16" ht="45" customHeight="1" x14ac:dyDescent="0.35">
      <c r="A58" s="512">
        <v>0.1598</v>
      </c>
      <c r="B58" s="512"/>
      <c r="C58" s="512"/>
      <c r="D58" s="512">
        <v>0.2636</v>
      </c>
      <c r="E58" s="513"/>
      <c r="F58" s="560" t="s">
        <v>14</v>
      </c>
      <c r="G58" s="561"/>
      <c r="H58" s="479">
        <f>A62-A58</f>
        <v>15.95068794167134</v>
      </c>
      <c r="I58" s="55"/>
      <c r="J58" s="56"/>
      <c r="K58" s="53"/>
      <c r="L58" s="52"/>
      <c r="M58" s="52"/>
      <c r="N58" s="52"/>
      <c r="O58" s="52"/>
      <c r="P58" s="57"/>
    </row>
    <row r="59" spans="1:16" ht="18.75" customHeight="1" x14ac:dyDescent="0.35">
      <c r="A59" s="44"/>
      <c r="B59" s="45"/>
      <c r="C59" s="45"/>
      <c r="D59" s="51"/>
      <c r="E59" s="51"/>
      <c r="F59" s="562" t="s">
        <v>15</v>
      </c>
      <c r="G59" s="563"/>
      <c r="H59" s="43"/>
      <c r="I59" s="507" t="s">
        <v>36</v>
      </c>
      <c r="J59" s="505"/>
      <c r="K59" s="505"/>
      <c r="L59" s="505"/>
      <c r="M59" s="505"/>
      <c r="N59" s="505"/>
      <c r="O59" s="505"/>
      <c r="P59" s="506"/>
    </row>
    <row r="60" spans="1:16" ht="33" customHeight="1" x14ac:dyDescent="0.3">
      <c r="A60" s="517" t="s">
        <v>34</v>
      </c>
      <c r="B60" s="517"/>
      <c r="C60" s="517"/>
      <c r="D60" s="517"/>
      <c r="E60" s="518"/>
      <c r="F60" s="564"/>
      <c r="G60" s="565"/>
      <c r="H60" s="445">
        <f>D62-D58</f>
        <v>1.2619857563617665E-2</v>
      </c>
      <c r="I60" s="519" t="s">
        <v>193</v>
      </c>
      <c r="J60" s="520"/>
      <c r="K60" s="520"/>
      <c r="L60" s="520"/>
      <c r="M60" s="520"/>
      <c r="N60" s="520"/>
      <c r="O60" s="520"/>
      <c r="P60" s="521"/>
    </row>
    <row r="61" spans="1:16" ht="56.25" customHeight="1" x14ac:dyDescent="0.35">
      <c r="A61" s="508" t="s">
        <v>6</v>
      </c>
      <c r="B61" s="509"/>
      <c r="C61" s="510"/>
      <c r="D61" s="511" t="s">
        <v>7</v>
      </c>
      <c r="E61" s="511"/>
      <c r="F61" s="42"/>
      <c r="G61" s="42"/>
      <c r="H61" s="43"/>
      <c r="I61" s="519"/>
      <c r="J61" s="520"/>
      <c r="K61" s="520"/>
      <c r="L61" s="520"/>
      <c r="M61" s="520"/>
      <c r="N61" s="520"/>
      <c r="O61" s="520"/>
      <c r="P61" s="521"/>
    </row>
    <row r="62" spans="1:16" ht="56.25" customHeight="1" x14ac:dyDescent="0.35">
      <c r="A62" s="530">
        <f>I31</f>
        <v>16.110487941671341</v>
      </c>
      <c r="B62" s="531"/>
      <c r="C62" s="532"/>
      <c r="D62" s="513">
        <f>M31</f>
        <v>0.27621985756361767</v>
      </c>
      <c r="E62" s="516"/>
      <c r="F62" s="53"/>
      <c r="G62" s="53"/>
      <c r="H62" s="54"/>
      <c r="I62" s="522"/>
      <c r="J62" s="523"/>
      <c r="K62" s="523"/>
      <c r="L62" s="523"/>
      <c r="M62" s="523"/>
      <c r="N62" s="523"/>
      <c r="O62" s="523"/>
      <c r="P62" s="524"/>
    </row>
    <row r="63" spans="1:16" ht="56.25" customHeight="1" x14ac:dyDescent="0.35">
      <c r="A63" s="70" t="s">
        <v>18</v>
      </c>
      <c r="B63" s="40"/>
      <c r="C63" s="40"/>
      <c r="D63" s="41"/>
      <c r="E63" s="114"/>
      <c r="F63" s="114"/>
      <c r="G63" s="114"/>
      <c r="H63" s="49"/>
      <c r="I63" s="114"/>
      <c r="J63" s="49"/>
      <c r="K63" s="114"/>
      <c r="L63" s="40"/>
      <c r="M63" s="40"/>
      <c r="N63" s="40"/>
      <c r="O63" s="40"/>
      <c r="P63" s="40"/>
    </row>
    <row r="64" spans="1:16" ht="56.25" customHeight="1" x14ac:dyDescent="0.35">
      <c r="A64" s="517" t="s">
        <v>63</v>
      </c>
      <c r="B64" s="517"/>
      <c r="C64" s="517"/>
      <c r="D64" s="517"/>
      <c r="E64" s="517"/>
      <c r="F64" s="517"/>
      <c r="G64" s="114"/>
      <c r="H64" s="49"/>
      <c r="I64" s="114"/>
      <c r="J64" s="49"/>
      <c r="K64" s="114"/>
      <c r="L64" s="40"/>
      <c r="M64" s="40"/>
      <c r="N64" s="40"/>
      <c r="O64" s="40"/>
      <c r="P64" s="40"/>
    </row>
    <row r="65" spans="1:24" ht="56.25" customHeight="1" x14ac:dyDescent="0.35">
      <c r="A65" s="508" t="s">
        <v>187</v>
      </c>
      <c r="B65" s="509"/>
      <c r="C65" s="510"/>
      <c r="D65" s="511" t="s">
        <v>188</v>
      </c>
      <c r="E65" s="511"/>
      <c r="F65" s="511"/>
      <c r="G65" s="114"/>
      <c r="H65" s="49"/>
      <c r="I65" s="114"/>
      <c r="J65" s="49"/>
      <c r="K65" s="114"/>
      <c r="L65" s="40"/>
      <c r="M65" s="40"/>
      <c r="N65" s="40"/>
      <c r="O65" s="40"/>
      <c r="P65" s="40"/>
    </row>
    <row r="66" spans="1:24" ht="56.25" customHeight="1" x14ac:dyDescent="0.35">
      <c r="A66" s="513">
        <f>D66/X66</f>
        <v>0.3646095446060606</v>
      </c>
      <c r="B66" s="528"/>
      <c r="C66" s="529"/>
      <c r="D66" s="525">
        <f>SUM('IAFF (2)'!F112:G116)</f>
        <v>421124024.01999998</v>
      </c>
      <c r="E66" s="526"/>
      <c r="F66" s="527"/>
      <c r="G66" s="114"/>
      <c r="H66" s="49"/>
      <c r="I66" s="114"/>
      <c r="J66" s="49"/>
      <c r="K66" s="114"/>
      <c r="L66" s="40"/>
      <c r="M66" s="40"/>
      <c r="N66" s="40"/>
      <c r="O66" s="40"/>
      <c r="P66" s="40"/>
      <c r="T66" s="1">
        <v>150000000</v>
      </c>
      <c r="W66" s="1">
        <v>150000000</v>
      </c>
      <c r="X66" s="1">
        <f>W66*7.7</f>
        <v>1155000000</v>
      </c>
    </row>
    <row r="67" spans="1:24" ht="56.25" customHeight="1" x14ac:dyDescent="0.3">
      <c r="A67" s="1"/>
      <c r="T67" s="1">
        <f>T66*7.7474</f>
        <v>1162110000</v>
      </c>
    </row>
    <row r="68" spans="1:24" ht="56.25" customHeight="1" x14ac:dyDescent="0.3">
      <c r="B68" s="69"/>
      <c r="C68" s="21"/>
      <c r="D68" s="21"/>
      <c r="E68" s="21"/>
      <c r="F68" s="22"/>
      <c r="G68" s="1"/>
      <c r="H68" s="1"/>
      <c r="I68" s="1"/>
      <c r="J68" s="69"/>
      <c r="K68" s="21"/>
      <c r="L68" s="21"/>
      <c r="M68" s="21"/>
      <c r="N68" s="21"/>
      <c r="O68" s="22"/>
    </row>
    <row r="69" spans="1:24" ht="56.25" customHeight="1" x14ac:dyDescent="0.3">
      <c r="B69" s="498" t="s">
        <v>16</v>
      </c>
      <c r="C69" s="499"/>
      <c r="D69" s="499"/>
      <c r="E69" s="499"/>
      <c r="F69" s="500"/>
      <c r="J69" s="498" t="s">
        <v>17</v>
      </c>
      <c r="K69" s="499"/>
      <c r="L69" s="499"/>
      <c r="M69" s="499"/>
      <c r="N69" s="499"/>
      <c r="O69" s="500"/>
    </row>
  </sheetData>
  <mergeCells count="108">
    <mergeCell ref="I48:J48"/>
    <mergeCell ref="I49:J49"/>
    <mergeCell ref="M48:O48"/>
    <mergeCell ref="M49:O49"/>
    <mergeCell ref="M50:O50"/>
    <mergeCell ref="G48:H48"/>
    <mergeCell ref="G49:H49"/>
    <mergeCell ref="C48:F48"/>
    <mergeCell ref="C49:F49"/>
    <mergeCell ref="L51:N51"/>
    <mergeCell ref="L36:L37"/>
    <mergeCell ref="M36:O37"/>
    <mergeCell ref="M38:O38"/>
    <mergeCell ref="M39:O39"/>
    <mergeCell ref="B29:D29"/>
    <mergeCell ref="A19:A23"/>
    <mergeCell ref="B25:D25"/>
    <mergeCell ref="B30:D30"/>
    <mergeCell ref="B23:D23"/>
    <mergeCell ref="A25:A27"/>
    <mergeCell ref="B27:D27"/>
    <mergeCell ref="B19:D19"/>
    <mergeCell ref="C38:F38"/>
    <mergeCell ref="G50:H50"/>
    <mergeCell ref="I50:J50"/>
    <mergeCell ref="A38:B42"/>
    <mergeCell ref="A45:B47"/>
    <mergeCell ref="I45:J45"/>
    <mergeCell ref="G45:H45"/>
    <mergeCell ref="C47:F47"/>
    <mergeCell ref="G47:H47"/>
    <mergeCell ref="I47:J47"/>
    <mergeCell ref="G46:H46"/>
    <mergeCell ref="A65:C65"/>
    <mergeCell ref="D65:F65"/>
    <mergeCell ref="A64:F64"/>
    <mergeCell ref="A51:C51"/>
    <mergeCell ref="F58:G58"/>
    <mergeCell ref="F59:G60"/>
    <mergeCell ref="F51:G51"/>
    <mergeCell ref="A36:B37"/>
    <mergeCell ref="C40:F40"/>
    <mergeCell ref="C41:F41"/>
    <mergeCell ref="C44:F44"/>
    <mergeCell ref="G41:H41"/>
    <mergeCell ref="D57:E57"/>
    <mergeCell ref="D62:E62"/>
    <mergeCell ref="C46:F46"/>
    <mergeCell ref="G38:H38"/>
    <mergeCell ref="G39:H39"/>
    <mergeCell ref="A48:B49"/>
    <mergeCell ref="G42:H42"/>
    <mergeCell ref="G40:H40"/>
    <mergeCell ref="C39:F39"/>
    <mergeCell ref="C42:F42"/>
    <mergeCell ref="C43:F43"/>
    <mergeCell ref="K36:K37"/>
    <mergeCell ref="P36:P37"/>
    <mergeCell ref="I36:J37"/>
    <mergeCell ref="C45:F45"/>
    <mergeCell ref="B20:D20"/>
    <mergeCell ref="A4:P4"/>
    <mergeCell ref="B22:D22"/>
    <mergeCell ref="G36:H37"/>
    <mergeCell ref="C36:F37"/>
    <mergeCell ref="I38:J38"/>
    <mergeCell ref="I39:J39"/>
    <mergeCell ref="I42:J42"/>
    <mergeCell ref="I40:J40"/>
    <mergeCell ref="M42:O42"/>
    <mergeCell ref="M45:O45"/>
    <mergeCell ref="A2:P2"/>
    <mergeCell ref="A15:P15"/>
    <mergeCell ref="A33:P33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N22:P22"/>
    <mergeCell ref="M47:O47"/>
    <mergeCell ref="N18:P18"/>
    <mergeCell ref="B69:F69"/>
    <mergeCell ref="J69:O69"/>
    <mergeCell ref="A53:P53"/>
    <mergeCell ref="I55:P55"/>
    <mergeCell ref="I59:P59"/>
    <mergeCell ref="A61:C61"/>
    <mergeCell ref="D61:E61"/>
    <mergeCell ref="A58:C58"/>
    <mergeCell ref="D58:E58"/>
    <mergeCell ref="A56:E56"/>
    <mergeCell ref="A60:E60"/>
    <mergeCell ref="A57:C57"/>
    <mergeCell ref="I60:P62"/>
    <mergeCell ref="D66:F66"/>
    <mergeCell ref="A66:C66"/>
    <mergeCell ref="A62:C62"/>
    <mergeCell ref="M46:O46"/>
    <mergeCell ref="M40:O40"/>
    <mergeCell ref="I41:J41"/>
    <mergeCell ref="I46:J46"/>
    <mergeCell ref="M41:O41"/>
    <mergeCell ref="I35:P35"/>
  </mergeCells>
  <printOptions horizontalCentered="1"/>
  <pageMargins left="0.39370078740157483" right="0.11811023622047245" top="0.74803149606299213" bottom="0.74803149606299213" header="0.31496062992125984" footer="0.31496062992125984"/>
  <pageSetup scale="29" orientation="portrait" r:id="rId1"/>
  <rowBreaks count="1" manualBreakCount="1">
    <brk id="69" max="15" man="1"/>
  </rowBreaks>
  <ignoredErrors>
    <ignoredError sqref="I3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"/>
  <sheetViews>
    <sheetView view="pageBreakPreview" zoomScale="60" zoomScaleNormal="40" workbookViewId="0">
      <selection activeCell="G22" sqref="G22"/>
    </sheetView>
  </sheetViews>
  <sheetFormatPr baseColWidth="10" defaultRowHeight="15" x14ac:dyDescent="0.25"/>
  <cols>
    <col min="1" max="1" width="35.85546875" style="362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363" customWidth="1"/>
    <col min="13" max="13" width="30.85546875" bestFit="1" customWidth="1"/>
    <col min="14" max="14" width="30.5703125" bestFit="1" customWidth="1"/>
    <col min="15" max="17" width="24.28515625" customWidth="1"/>
    <col min="18" max="18" width="34.28515625" customWidth="1"/>
    <col min="19" max="19" width="24.28515625" style="363" customWidth="1"/>
    <col min="20" max="20" width="18.85546875" customWidth="1"/>
    <col min="21" max="22" width="24.28515625" customWidth="1"/>
    <col min="23" max="23" width="5" customWidth="1"/>
  </cols>
  <sheetData>
    <row r="1" spans="1:23" s="1" customFormat="1" ht="46.5" customHeight="1" x14ac:dyDescent="0.9">
      <c r="A1" s="638" t="s">
        <v>47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166"/>
    </row>
    <row r="2" spans="1:23" s="5" customFormat="1" ht="7.5" customHeight="1" x14ac:dyDescent="0.3">
      <c r="A2" s="190"/>
      <c r="B2" s="6"/>
      <c r="C2" s="6"/>
      <c r="D2" s="6"/>
      <c r="E2" s="6"/>
      <c r="F2" s="6"/>
      <c r="G2" s="6"/>
      <c r="H2" s="6"/>
      <c r="I2" s="6"/>
      <c r="J2" s="6"/>
      <c r="K2" s="6"/>
      <c r="L2" s="191"/>
      <c r="M2" s="6"/>
      <c r="N2" s="6"/>
      <c r="O2" s="6"/>
      <c r="P2" s="6"/>
      <c r="Q2" s="6"/>
      <c r="R2" s="6"/>
      <c r="S2" s="191"/>
      <c r="T2" s="6"/>
      <c r="U2" s="6"/>
      <c r="V2" s="6"/>
      <c r="W2" s="6"/>
    </row>
    <row r="3" spans="1:23" s="1" customFormat="1" ht="21" x14ac:dyDescent="0.35">
      <c r="A3" s="539" t="s">
        <v>45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167"/>
    </row>
    <row r="4" spans="1:23" s="1" customFormat="1" ht="26.25" x14ac:dyDescent="0.4">
      <c r="A4" s="639" t="s">
        <v>1</v>
      </c>
      <c r="B4" s="639"/>
      <c r="C4" s="81">
        <v>2022</v>
      </c>
      <c r="D4" s="16"/>
      <c r="G4" s="640" t="s">
        <v>8</v>
      </c>
      <c r="H4" s="640"/>
      <c r="I4" s="640"/>
      <c r="J4" s="640"/>
      <c r="K4" s="640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  <c r="W4" s="168"/>
    </row>
    <row r="5" spans="1:23" s="1" customFormat="1" ht="26.25" x14ac:dyDescent="0.4">
      <c r="A5" s="192"/>
      <c r="B5" s="171" t="s">
        <v>20</v>
      </c>
      <c r="C5" s="81" t="s">
        <v>191</v>
      </c>
      <c r="D5" s="16"/>
      <c r="E5" s="89"/>
      <c r="F5" s="89"/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0"/>
      <c r="R5" s="640"/>
      <c r="S5" s="640"/>
      <c r="T5" s="640"/>
      <c r="U5" s="640"/>
      <c r="V5" s="640"/>
      <c r="W5" s="168"/>
    </row>
    <row r="6" spans="1:23" s="1" customFormat="1" ht="26.25" x14ac:dyDescent="0.4">
      <c r="A6" s="639" t="s">
        <v>3</v>
      </c>
      <c r="B6" s="639"/>
      <c r="C6" s="81">
        <v>11130008</v>
      </c>
      <c r="D6" s="16"/>
      <c r="E6" s="89"/>
      <c r="F6" s="89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  <c r="T6" s="640"/>
      <c r="U6" s="640"/>
      <c r="V6" s="640"/>
      <c r="W6" s="168"/>
    </row>
    <row r="7" spans="1:23" s="1" customFormat="1" ht="26.25" x14ac:dyDescent="0.4">
      <c r="A7" s="639" t="s">
        <v>2</v>
      </c>
      <c r="B7" s="639"/>
      <c r="C7" s="81" t="s">
        <v>89</v>
      </c>
      <c r="D7" s="16"/>
      <c r="E7" s="89"/>
      <c r="F7" s="89"/>
      <c r="G7" s="640"/>
      <c r="H7" s="640"/>
      <c r="I7" s="640"/>
      <c r="J7" s="640"/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640"/>
      <c r="V7" s="640"/>
      <c r="W7" s="168"/>
    </row>
    <row r="8" spans="1:23" s="5" customFormat="1" ht="26.25" x14ac:dyDescent="0.3">
      <c r="A8" s="641" t="s">
        <v>4</v>
      </c>
      <c r="B8" s="641"/>
      <c r="C8" s="81" t="s">
        <v>90</v>
      </c>
      <c r="D8" s="9"/>
      <c r="E8" s="89"/>
      <c r="F8" s="89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168"/>
    </row>
    <row r="9" spans="1:23" s="5" customFormat="1" ht="26.25" x14ac:dyDescent="0.3">
      <c r="A9" s="193"/>
      <c r="B9" s="172" t="s">
        <v>13</v>
      </c>
      <c r="C9" s="81" t="s">
        <v>91</v>
      </c>
      <c r="D9" s="9"/>
      <c r="E9" s="89"/>
      <c r="F9" s="89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  <c r="S9" s="640"/>
      <c r="T9" s="640"/>
      <c r="U9" s="640"/>
      <c r="V9" s="640"/>
      <c r="W9" s="168"/>
    </row>
    <row r="10" spans="1:23" s="5" customFormat="1" ht="26.25" x14ac:dyDescent="0.4">
      <c r="A10" s="639" t="s">
        <v>40</v>
      </c>
      <c r="B10" s="639"/>
      <c r="C10" s="194">
        <v>43230</v>
      </c>
      <c r="D10" s="194"/>
      <c r="E10" s="89"/>
      <c r="F10" s="89"/>
      <c r="G10" s="640"/>
      <c r="H10" s="640"/>
      <c r="I10" s="640"/>
      <c r="J10" s="640"/>
      <c r="K10" s="640"/>
      <c r="L10" s="640"/>
      <c r="M10" s="640"/>
      <c r="N10" s="640"/>
      <c r="O10" s="640"/>
      <c r="P10" s="640"/>
      <c r="Q10" s="640"/>
      <c r="R10" s="640"/>
      <c r="S10" s="640"/>
      <c r="T10" s="640"/>
      <c r="U10" s="640"/>
      <c r="V10" s="640"/>
      <c r="W10" s="168"/>
    </row>
    <row r="11" spans="1:23" s="5" customFormat="1" ht="26.25" x14ac:dyDescent="0.4">
      <c r="A11" s="639" t="s">
        <v>41</v>
      </c>
      <c r="B11" s="639"/>
      <c r="C11" s="194">
        <v>44693</v>
      </c>
      <c r="D11" s="9"/>
      <c r="E11" s="89"/>
      <c r="F11" s="89"/>
      <c r="G11" s="640"/>
      <c r="H11" s="640"/>
      <c r="I11" s="640"/>
      <c r="J11" s="640"/>
      <c r="K11" s="640"/>
      <c r="L11" s="640"/>
      <c r="M11" s="640"/>
      <c r="N11" s="640"/>
      <c r="O11" s="640"/>
      <c r="P11" s="640"/>
      <c r="Q11" s="640"/>
      <c r="R11" s="640"/>
      <c r="S11" s="640"/>
      <c r="T11" s="640"/>
      <c r="U11" s="640"/>
      <c r="V11" s="640"/>
      <c r="W11" s="168"/>
    </row>
    <row r="13" spans="1:23" ht="21" x14ac:dyDescent="0.35">
      <c r="A13" s="539" t="s">
        <v>46</v>
      </c>
      <c r="B13" s="539"/>
      <c r="C13" s="539"/>
      <c r="D13" s="539"/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167"/>
    </row>
    <row r="14" spans="1:23" ht="21" x14ac:dyDescent="0.25">
      <c r="A14" s="596"/>
      <c r="B14" s="596"/>
      <c r="C14" s="596"/>
      <c r="D14" s="596"/>
      <c r="E14" s="596"/>
      <c r="F14" s="596"/>
      <c r="G14" s="596"/>
      <c r="H14" s="596"/>
      <c r="I14" s="596"/>
      <c r="J14" s="596"/>
      <c r="K14" s="596"/>
      <c r="L14" s="596"/>
      <c r="M14" s="596"/>
      <c r="N14" s="596"/>
      <c r="O14" s="596"/>
      <c r="P14" s="596"/>
      <c r="Q14" s="596"/>
      <c r="R14" s="596"/>
      <c r="S14" s="596"/>
      <c r="T14" s="596"/>
      <c r="U14" s="596"/>
      <c r="V14" s="596"/>
      <c r="W14" s="173"/>
    </row>
    <row r="15" spans="1:23" ht="34.5" thickBot="1" x14ac:dyDescent="0.55000000000000004">
      <c r="A15" s="195" t="s">
        <v>39</v>
      </c>
      <c r="B15" s="597">
        <v>2018</v>
      </c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9"/>
      <c r="U15" s="600"/>
      <c r="V15" s="88"/>
      <c r="W15" s="88"/>
    </row>
    <row r="16" spans="1:23" ht="159" customHeight="1" thickBot="1" x14ac:dyDescent="0.3">
      <c r="A16" s="601" t="s">
        <v>42</v>
      </c>
      <c r="B16" s="604" t="s">
        <v>43</v>
      </c>
      <c r="C16" s="605"/>
      <c r="D16" s="606"/>
      <c r="E16" s="606" t="s">
        <v>44</v>
      </c>
      <c r="F16" s="613" t="s">
        <v>64</v>
      </c>
      <c r="G16" s="614"/>
      <c r="H16" s="615" t="s">
        <v>80</v>
      </c>
      <c r="I16" s="616"/>
      <c r="J16" s="617" t="s">
        <v>81</v>
      </c>
      <c r="K16" s="618"/>
      <c r="L16" s="619"/>
      <c r="M16" s="620" t="s">
        <v>82</v>
      </c>
      <c r="N16" s="621"/>
      <c r="O16" s="622"/>
      <c r="P16" s="623" t="s">
        <v>83</v>
      </c>
      <c r="Q16" s="624"/>
      <c r="R16" s="625" t="s">
        <v>84</v>
      </c>
      <c r="S16" s="626"/>
      <c r="T16" s="627" t="s">
        <v>85</v>
      </c>
      <c r="U16" s="628"/>
      <c r="V16" s="629"/>
    </row>
    <row r="17" spans="1:23" ht="30" customHeight="1" x14ac:dyDescent="0.25">
      <c r="A17" s="602"/>
      <c r="B17" s="607"/>
      <c r="C17" s="608"/>
      <c r="D17" s="609"/>
      <c r="E17" s="609"/>
      <c r="F17" s="636" t="s">
        <v>49</v>
      </c>
      <c r="G17" s="670" t="s">
        <v>48</v>
      </c>
      <c r="H17" s="672" t="s">
        <v>75</v>
      </c>
      <c r="I17" s="674" t="s">
        <v>76</v>
      </c>
      <c r="J17" s="676" t="s">
        <v>50</v>
      </c>
      <c r="K17" s="659" t="s">
        <v>38</v>
      </c>
      <c r="L17" s="678" t="s">
        <v>37</v>
      </c>
      <c r="M17" s="659" t="s">
        <v>50</v>
      </c>
      <c r="N17" s="659" t="s">
        <v>38</v>
      </c>
      <c r="O17" s="662" t="s">
        <v>37</v>
      </c>
      <c r="P17" s="664" t="s">
        <v>77</v>
      </c>
      <c r="Q17" s="666" t="s">
        <v>78</v>
      </c>
      <c r="R17" s="668" t="s">
        <v>79</v>
      </c>
      <c r="S17" s="651" t="s">
        <v>78</v>
      </c>
      <c r="T17" s="630"/>
      <c r="U17" s="631"/>
      <c r="V17" s="632"/>
    </row>
    <row r="18" spans="1:23" ht="66" customHeight="1" thickBot="1" x14ac:dyDescent="0.3">
      <c r="A18" s="603"/>
      <c r="B18" s="610"/>
      <c r="C18" s="611"/>
      <c r="D18" s="612"/>
      <c r="E18" s="612"/>
      <c r="F18" s="637"/>
      <c r="G18" s="671"/>
      <c r="H18" s="673"/>
      <c r="I18" s="675"/>
      <c r="J18" s="677"/>
      <c r="K18" s="661"/>
      <c r="L18" s="679"/>
      <c r="M18" s="660"/>
      <c r="N18" s="661"/>
      <c r="O18" s="663"/>
      <c r="P18" s="665"/>
      <c r="Q18" s="667"/>
      <c r="R18" s="669"/>
      <c r="S18" s="652"/>
      <c r="T18" s="633"/>
      <c r="U18" s="634"/>
      <c r="V18" s="635"/>
    </row>
    <row r="19" spans="1:23" ht="30" customHeight="1" x14ac:dyDescent="0.35">
      <c r="A19" s="196" t="s">
        <v>104</v>
      </c>
      <c r="B19" s="653"/>
      <c r="C19" s="654"/>
      <c r="D19" s="655"/>
      <c r="E19" s="112"/>
      <c r="F19" s="97"/>
      <c r="G19" s="98"/>
      <c r="H19" s="84"/>
      <c r="I19" s="142"/>
      <c r="J19" s="84"/>
      <c r="K19" s="87"/>
      <c r="L19" s="90"/>
      <c r="M19" s="102"/>
      <c r="N19" s="103"/>
      <c r="O19" s="104"/>
      <c r="P19" s="84"/>
      <c r="Q19" s="143"/>
      <c r="R19" s="144"/>
      <c r="S19" s="145"/>
      <c r="T19" s="158"/>
      <c r="U19" s="157"/>
      <c r="V19" s="159"/>
    </row>
    <row r="20" spans="1:23" s="207" customFormat="1" ht="37.5" x14ac:dyDescent="0.25">
      <c r="A20" s="197" t="s">
        <v>105</v>
      </c>
      <c r="B20" s="656" t="s">
        <v>106</v>
      </c>
      <c r="C20" s="657"/>
      <c r="D20" s="658"/>
      <c r="E20" s="198"/>
      <c r="F20" s="99"/>
      <c r="G20" s="100"/>
      <c r="H20" s="146"/>
      <c r="I20" s="147"/>
      <c r="J20" s="146"/>
      <c r="K20" s="199"/>
      <c r="L20" s="200"/>
      <c r="M20" s="201"/>
      <c r="N20" s="201"/>
      <c r="O20" s="202"/>
      <c r="P20" s="146"/>
      <c r="Q20" s="148"/>
      <c r="R20" s="149"/>
      <c r="S20" s="203"/>
      <c r="T20" s="204"/>
      <c r="U20" s="205"/>
      <c r="V20" s="206"/>
    </row>
    <row r="21" spans="1:23" s="207" customFormat="1" ht="56.25" x14ac:dyDescent="0.25">
      <c r="A21" s="197" t="s">
        <v>107</v>
      </c>
      <c r="B21" s="656" t="s">
        <v>106</v>
      </c>
      <c r="C21" s="657"/>
      <c r="D21" s="658"/>
      <c r="E21" s="198"/>
      <c r="F21" s="99"/>
      <c r="G21" s="100"/>
      <c r="H21" s="146"/>
      <c r="I21" s="147"/>
      <c r="J21" s="146"/>
      <c r="K21" s="199"/>
      <c r="L21" s="200"/>
      <c r="M21" s="201"/>
      <c r="N21" s="201"/>
      <c r="O21" s="202"/>
      <c r="P21" s="146"/>
      <c r="Q21" s="148"/>
      <c r="R21" s="149"/>
      <c r="S21" s="203"/>
      <c r="T21" s="204"/>
      <c r="U21" s="205"/>
      <c r="V21" s="206"/>
    </row>
    <row r="22" spans="1:23" s="207" customFormat="1" ht="56.25" x14ac:dyDescent="0.25">
      <c r="A22" s="197" t="s">
        <v>108</v>
      </c>
      <c r="B22" s="656" t="s">
        <v>106</v>
      </c>
      <c r="C22" s="657"/>
      <c r="D22" s="658"/>
      <c r="E22" s="198"/>
      <c r="F22" s="99"/>
      <c r="G22" s="100"/>
      <c r="H22" s="146"/>
      <c r="I22" s="147"/>
      <c r="J22" s="146"/>
      <c r="K22" s="199"/>
      <c r="L22" s="200"/>
      <c r="M22" s="201"/>
      <c r="N22" s="201"/>
      <c r="O22" s="202"/>
      <c r="P22" s="146"/>
      <c r="Q22" s="148"/>
      <c r="R22" s="149"/>
      <c r="S22" s="203"/>
      <c r="T22" s="204"/>
      <c r="U22" s="205"/>
      <c r="V22" s="206"/>
    </row>
    <row r="23" spans="1:23" s="207" customFormat="1" ht="75" x14ac:dyDescent="0.25">
      <c r="A23" s="208" t="s">
        <v>109</v>
      </c>
      <c r="B23" s="656" t="s">
        <v>106</v>
      </c>
      <c r="C23" s="657"/>
      <c r="D23" s="658"/>
      <c r="E23" s="198" t="s">
        <v>110</v>
      </c>
      <c r="F23" s="209">
        <v>0</v>
      </c>
      <c r="G23" s="210">
        <v>29502</v>
      </c>
      <c r="H23" s="211"/>
      <c r="I23" s="212"/>
      <c r="J23" s="211">
        <v>0</v>
      </c>
      <c r="K23" s="213">
        <v>0</v>
      </c>
      <c r="L23" s="214">
        <v>0</v>
      </c>
      <c r="M23" s="215">
        <v>0</v>
      </c>
      <c r="N23" s="215">
        <v>0</v>
      </c>
      <c r="O23" s="216">
        <v>0</v>
      </c>
      <c r="P23" s="211">
        <v>0</v>
      </c>
      <c r="Q23" s="217">
        <v>0</v>
      </c>
      <c r="R23" s="218">
        <v>0</v>
      </c>
      <c r="S23" s="219">
        <v>0</v>
      </c>
      <c r="T23" s="204"/>
      <c r="U23" s="205"/>
      <c r="V23" s="206"/>
    </row>
    <row r="24" spans="1:23" ht="30" customHeight="1" x14ac:dyDescent="0.35">
      <c r="A24" s="220" t="s">
        <v>111</v>
      </c>
      <c r="B24" s="680"/>
      <c r="C24" s="681"/>
      <c r="D24" s="682"/>
      <c r="E24" s="221"/>
      <c r="F24" s="209"/>
      <c r="G24" s="222"/>
      <c r="H24" s="93"/>
      <c r="I24" s="150"/>
      <c r="J24" s="93"/>
      <c r="K24" s="92"/>
      <c r="L24" s="85"/>
      <c r="M24" s="102"/>
      <c r="N24" s="103"/>
      <c r="O24" s="104"/>
      <c r="P24" s="93"/>
      <c r="Q24" s="151"/>
      <c r="R24" s="144"/>
      <c r="S24" s="145"/>
      <c r="T24" s="160"/>
      <c r="U24" s="156"/>
      <c r="V24" s="161"/>
    </row>
    <row r="25" spans="1:23" ht="38.25" x14ac:dyDescent="0.35">
      <c r="A25" s="223" t="s">
        <v>112</v>
      </c>
      <c r="B25" s="683"/>
      <c r="C25" s="684"/>
      <c r="D25" s="685"/>
      <c r="E25" s="224"/>
      <c r="F25" s="99"/>
      <c r="G25" s="100"/>
      <c r="H25" s="146"/>
      <c r="I25" s="147"/>
      <c r="J25" s="94"/>
      <c r="K25" s="86"/>
      <c r="L25" s="200"/>
      <c r="M25" s="105"/>
      <c r="N25" s="105"/>
      <c r="O25" s="106"/>
      <c r="P25" s="94"/>
      <c r="Q25" s="148"/>
      <c r="R25" s="149"/>
      <c r="S25" s="203"/>
      <c r="T25" s="160"/>
      <c r="U25" s="156"/>
      <c r="V25" s="161"/>
      <c r="W25" s="83"/>
    </row>
    <row r="26" spans="1:23" ht="38.25" x14ac:dyDescent="0.35">
      <c r="A26" s="223" t="s">
        <v>113</v>
      </c>
      <c r="B26" s="686" t="s">
        <v>114</v>
      </c>
      <c r="C26" s="687"/>
      <c r="D26" s="688"/>
      <c r="E26" s="198" t="s">
        <v>114</v>
      </c>
      <c r="F26" s="225">
        <v>2543200</v>
      </c>
      <c r="G26" s="210">
        <v>45934422</v>
      </c>
      <c r="H26" s="146"/>
      <c r="I26" s="147"/>
      <c r="J26" s="94">
        <v>0</v>
      </c>
      <c r="K26" s="86">
        <v>0</v>
      </c>
      <c r="L26" s="200">
        <v>0</v>
      </c>
      <c r="M26" s="105">
        <v>0</v>
      </c>
      <c r="N26" s="105">
        <v>0</v>
      </c>
      <c r="O26" s="106">
        <v>0</v>
      </c>
      <c r="P26" s="94">
        <v>0</v>
      </c>
      <c r="Q26" s="148">
        <v>0</v>
      </c>
      <c r="R26" s="149">
        <v>0</v>
      </c>
      <c r="S26" s="203">
        <v>0</v>
      </c>
      <c r="T26" s="160"/>
      <c r="U26" s="156"/>
      <c r="V26" s="161"/>
    </row>
    <row r="27" spans="1:23" ht="30" customHeight="1" x14ac:dyDescent="0.35">
      <c r="A27" s="220" t="s">
        <v>115</v>
      </c>
      <c r="B27" s="226"/>
      <c r="C27" s="227"/>
      <c r="D27" s="228"/>
      <c r="E27" s="224"/>
      <c r="F27" s="229"/>
      <c r="G27" s="100"/>
      <c r="H27" s="230"/>
      <c r="I27" s="231"/>
      <c r="J27" s="232"/>
      <c r="K27" s="233"/>
      <c r="L27" s="234"/>
      <c r="M27" s="235"/>
      <c r="N27" s="235"/>
      <c r="O27" s="236"/>
      <c r="P27" s="232"/>
      <c r="Q27" s="237"/>
      <c r="R27" s="238"/>
      <c r="S27" s="239"/>
      <c r="T27" s="240"/>
      <c r="U27" s="241"/>
      <c r="V27" s="242"/>
    </row>
    <row r="28" spans="1:23" ht="39" thickBot="1" x14ac:dyDescent="0.4">
      <c r="A28" s="223" t="s">
        <v>116</v>
      </c>
      <c r="B28" s="642" t="s">
        <v>95</v>
      </c>
      <c r="C28" s="643"/>
      <c r="D28" s="644"/>
      <c r="E28" s="198" t="s">
        <v>96</v>
      </c>
      <c r="F28" s="229" t="s">
        <v>96</v>
      </c>
      <c r="G28" s="100">
        <v>0</v>
      </c>
      <c r="H28" s="230"/>
      <c r="I28" s="243"/>
      <c r="J28" s="199" t="s">
        <v>96</v>
      </c>
      <c r="K28" s="199" t="s">
        <v>96</v>
      </c>
      <c r="L28" s="244" t="s">
        <v>96</v>
      </c>
      <c r="M28" s="201" t="s">
        <v>96</v>
      </c>
      <c r="N28" s="201" t="s">
        <v>96</v>
      </c>
      <c r="O28" s="201" t="s">
        <v>96</v>
      </c>
      <c r="P28" s="245">
        <v>0</v>
      </c>
      <c r="Q28" s="237">
        <v>0</v>
      </c>
      <c r="R28" s="238">
        <v>0</v>
      </c>
      <c r="S28" s="239">
        <v>0</v>
      </c>
      <c r="T28" s="240"/>
      <c r="U28" s="241"/>
      <c r="V28" s="242"/>
    </row>
    <row r="29" spans="1:23" ht="23.25" customHeight="1" x14ac:dyDescent="0.35">
      <c r="A29" s="246" t="s">
        <v>117</v>
      </c>
      <c r="B29" s="645" t="s">
        <v>95</v>
      </c>
      <c r="C29" s="646"/>
      <c r="D29" s="647"/>
      <c r="E29" s="247" t="s">
        <v>96</v>
      </c>
      <c r="F29" s="248" t="s">
        <v>96</v>
      </c>
      <c r="G29" s="247">
        <v>0</v>
      </c>
      <c r="H29" s="249"/>
      <c r="I29" s="249"/>
      <c r="J29" s="249" t="s">
        <v>96</v>
      </c>
      <c r="K29" s="249" t="s">
        <v>96</v>
      </c>
      <c r="L29" s="250" t="s">
        <v>96</v>
      </c>
      <c r="M29" s="251" t="s">
        <v>96</v>
      </c>
      <c r="N29" s="251" t="s">
        <v>96</v>
      </c>
      <c r="O29" s="251" t="s">
        <v>96</v>
      </c>
      <c r="P29" s="233">
        <v>0</v>
      </c>
      <c r="Q29" s="252">
        <v>0</v>
      </c>
      <c r="R29" s="253">
        <v>0</v>
      </c>
      <c r="S29" s="254">
        <v>0</v>
      </c>
      <c r="T29" s="241"/>
      <c r="U29" s="241"/>
      <c r="V29" s="241"/>
    </row>
    <row r="30" spans="1:23" ht="23.25" customHeight="1" x14ac:dyDescent="0.35">
      <c r="A30" s="223"/>
      <c r="B30" s="255"/>
      <c r="C30" s="255"/>
      <c r="D30" s="255"/>
      <c r="E30" s="224"/>
      <c r="F30" s="198"/>
      <c r="G30" s="256">
        <f>SUM(G19:G29)</f>
        <v>45963924</v>
      </c>
      <c r="H30" s="257"/>
      <c r="I30" s="257"/>
      <c r="J30" s="258"/>
      <c r="K30" s="258"/>
      <c r="L30" s="259"/>
      <c r="M30" s="260"/>
      <c r="N30" s="260"/>
      <c r="O30" s="261"/>
      <c r="P30" s="258"/>
      <c r="Q30" s="262"/>
      <c r="R30" s="263"/>
      <c r="S30" s="264"/>
      <c r="T30" s="265"/>
      <c r="U30" s="265"/>
      <c r="V30" s="266"/>
    </row>
    <row r="31" spans="1:23" ht="21.75" thickBot="1" x14ac:dyDescent="0.4">
      <c r="A31" s="648"/>
      <c r="B31" s="649"/>
      <c r="C31" s="649"/>
      <c r="D31" s="649"/>
      <c r="E31" s="649"/>
      <c r="F31" s="649"/>
      <c r="G31" s="649"/>
      <c r="H31" s="649"/>
      <c r="I31" s="649"/>
      <c r="J31" s="649"/>
      <c r="K31" s="649"/>
      <c r="L31" s="649"/>
      <c r="M31" s="649"/>
      <c r="N31" s="649"/>
      <c r="O31" s="649"/>
      <c r="P31" s="649"/>
      <c r="Q31" s="649"/>
      <c r="R31" s="649"/>
      <c r="S31" s="649"/>
      <c r="T31" s="649"/>
      <c r="U31" s="649"/>
      <c r="V31" s="650"/>
      <c r="W31" s="111"/>
    </row>
    <row r="32" spans="1:23" ht="34.5" thickBot="1" x14ac:dyDescent="0.55000000000000004">
      <c r="A32" s="195" t="s">
        <v>39</v>
      </c>
      <c r="B32" s="597">
        <v>2019</v>
      </c>
      <c r="C32" s="598"/>
      <c r="D32" s="598"/>
      <c r="E32" s="598"/>
      <c r="F32" s="598"/>
      <c r="G32" s="598"/>
      <c r="H32" s="598"/>
      <c r="I32" s="598"/>
      <c r="J32" s="598"/>
      <c r="K32" s="598"/>
      <c r="L32" s="598"/>
      <c r="M32" s="598"/>
      <c r="N32" s="598"/>
      <c r="O32" s="598"/>
      <c r="P32" s="598"/>
      <c r="Q32" s="598"/>
      <c r="R32" s="598"/>
      <c r="S32" s="598"/>
      <c r="T32" s="599"/>
      <c r="U32" s="600"/>
      <c r="V32" s="88"/>
      <c r="W32" s="88"/>
    </row>
    <row r="33" spans="1:25" ht="159" customHeight="1" thickBot="1" x14ac:dyDescent="0.3">
      <c r="A33" s="601" t="s">
        <v>42</v>
      </c>
      <c r="B33" s="604" t="s">
        <v>43</v>
      </c>
      <c r="C33" s="605"/>
      <c r="D33" s="606"/>
      <c r="E33" s="606" t="s">
        <v>44</v>
      </c>
      <c r="F33" s="613" t="s">
        <v>64</v>
      </c>
      <c r="G33" s="614"/>
      <c r="H33" s="615" t="s">
        <v>80</v>
      </c>
      <c r="I33" s="616"/>
      <c r="J33" s="617" t="s">
        <v>81</v>
      </c>
      <c r="K33" s="618"/>
      <c r="L33" s="619"/>
      <c r="M33" s="620" t="s">
        <v>82</v>
      </c>
      <c r="N33" s="621"/>
      <c r="O33" s="622"/>
      <c r="P33" s="623" t="s">
        <v>83</v>
      </c>
      <c r="Q33" s="624"/>
      <c r="R33" s="625" t="s">
        <v>84</v>
      </c>
      <c r="S33" s="626"/>
      <c r="T33" s="627" t="s">
        <v>85</v>
      </c>
      <c r="U33" s="628"/>
      <c r="V33" s="629"/>
      <c r="W33" s="108"/>
    </row>
    <row r="34" spans="1:25" ht="30" customHeight="1" x14ac:dyDescent="0.25">
      <c r="A34" s="602"/>
      <c r="B34" s="607"/>
      <c r="C34" s="608"/>
      <c r="D34" s="609"/>
      <c r="E34" s="609"/>
      <c r="F34" s="636" t="s">
        <v>49</v>
      </c>
      <c r="G34" s="670" t="s">
        <v>48</v>
      </c>
      <c r="H34" s="672" t="s">
        <v>75</v>
      </c>
      <c r="I34" s="674" t="s">
        <v>76</v>
      </c>
      <c r="J34" s="676" t="s">
        <v>50</v>
      </c>
      <c r="K34" s="659" t="s">
        <v>38</v>
      </c>
      <c r="L34" s="678" t="s">
        <v>37</v>
      </c>
      <c r="M34" s="659" t="s">
        <v>50</v>
      </c>
      <c r="N34" s="659" t="s">
        <v>38</v>
      </c>
      <c r="O34" s="662" t="s">
        <v>37</v>
      </c>
      <c r="P34" s="664" t="s">
        <v>77</v>
      </c>
      <c r="Q34" s="666" t="s">
        <v>78</v>
      </c>
      <c r="R34" s="668" t="s">
        <v>79</v>
      </c>
      <c r="S34" s="651" t="s">
        <v>78</v>
      </c>
      <c r="T34" s="630"/>
      <c r="U34" s="631"/>
      <c r="V34" s="632"/>
      <c r="W34" s="109"/>
    </row>
    <row r="35" spans="1:25" ht="66" customHeight="1" thickBot="1" x14ac:dyDescent="0.3">
      <c r="A35" s="603"/>
      <c r="B35" s="610"/>
      <c r="C35" s="611"/>
      <c r="D35" s="612"/>
      <c r="E35" s="612"/>
      <c r="F35" s="637"/>
      <c r="G35" s="671"/>
      <c r="H35" s="673"/>
      <c r="I35" s="675"/>
      <c r="J35" s="677"/>
      <c r="K35" s="661"/>
      <c r="L35" s="679"/>
      <c r="M35" s="660"/>
      <c r="N35" s="661"/>
      <c r="O35" s="663"/>
      <c r="P35" s="665"/>
      <c r="Q35" s="667"/>
      <c r="R35" s="669"/>
      <c r="S35" s="652"/>
      <c r="T35" s="633"/>
      <c r="U35" s="634"/>
      <c r="V35" s="635"/>
      <c r="W35" s="109"/>
    </row>
    <row r="36" spans="1:25" s="207" customFormat="1" ht="30" customHeight="1" x14ac:dyDescent="0.25">
      <c r="A36" s="267" t="s">
        <v>104</v>
      </c>
      <c r="B36" s="653"/>
      <c r="C36" s="654"/>
      <c r="D36" s="655"/>
      <c r="E36" s="174"/>
      <c r="F36" s="97"/>
      <c r="G36" s="98"/>
      <c r="H36" s="84"/>
      <c r="I36" s="142"/>
      <c r="J36" s="84"/>
      <c r="K36" s="87"/>
      <c r="L36" s="90"/>
      <c r="M36" s="102"/>
      <c r="N36" s="102"/>
      <c r="O36" s="268"/>
      <c r="P36" s="84"/>
      <c r="Q36" s="143"/>
      <c r="R36" s="144"/>
      <c r="S36" s="145"/>
      <c r="T36" s="269"/>
      <c r="U36" s="270"/>
      <c r="V36" s="271"/>
      <c r="W36" s="272"/>
    </row>
    <row r="37" spans="1:25" s="207" customFormat="1" ht="21" x14ac:dyDescent="0.25">
      <c r="A37" s="689" t="s">
        <v>92</v>
      </c>
      <c r="B37" s="656" t="s">
        <v>118</v>
      </c>
      <c r="C37" s="657"/>
      <c r="D37" s="658"/>
      <c r="E37" s="198" t="s">
        <v>97</v>
      </c>
      <c r="F37" s="225">
        <v>500</v>
      </c>
      <c r="G37" s="273">
        <v>69953055.790000007</v>
      </c>
      <c r="H37" s="274">
        <v>43467</v>
      </c>
      <c r="I37" s="275">
        <v>43819</v>
      </c>
      <c r="J37" s="146">
        <v>500</v>
      </c>
      <c r="K37" s="199">
        <v>0</v>
      </c>
      <c r="L37" s="200">
        <v>0</v>
      </c>
      <c r="M37" s="276">
        <v>69953055.790000007</v>
      </c>
      <c r="N37" s="276">
        <v>0</v>
      </c>
      <c r="O37" s="277">
        <v>0</v>
      </c>
      <c r="P37" s="278">
        <v>0</v>
      </c>
      <c r="Q37" s="279">
        <f t="shared" ref="Q37:Q38" si="0">O37</f>
        <v>0</v>
      </c>
      <c r="R37" s="149">
        <v>0</v>
      </c>
      <c r="S37" s="203">
        <v>0</v>
      </c>
      <c r="T37" s="204"/>
      <c r="U37" s="205"/>
      <c r="V37" s="206"/>
      <c r="W37" s="280"/>
    </row>
    <row r="38" spans="1:25" s="207" customFormat="1" ht="66.75" customHeight="1" x14ac:dyDescent="0.25">
      <c r="A38" s="690"/>
      <c r="B38" s="656" t="s">
        <v>119</v>
      </c>
      <c r="C38" s="657"/>
      <c r="D38" s="658"/>
      <c r="E38" s="198" t="s">
        <v>93</v>
      </c>
      <c r="F38" s="225">
        <v>500</v>
      </c>
      <c r="G38" s="273">
        <v>5399305.21</v>
      </c>
      <c r="H38" s="274">
        <v>43467</v>
      </c>
      <c r="I38" s="275">
        <v>43819</v>
      </c>
      <c r="J38" s="146">
        <v>500</v>
      </c>
      <c r="K38" s="199">
        <v>0</v>
      </c>
      <c r="L38" s="200">
        <v>0</v>
      </c>
      <c r="M38" s="276">
        <v>5399305.21</v>
      </c>
      <c r="N38" s="276">
        <v>0</v>
      </c>
      <c r="O38" s="277">
        <v>0</v>
      </c>
      <c r="P38" s="278">
        <v>0</v>
      </c>
      <c r="Q38" s="279">
        <f t="shared" si="0"/>
        <v>0</v>
      </c>
      <c r="R38" s="149">
        <v>0</v>
      </c>
      <c r="S38" s="203">
        <v>0</v>
      </c>
      <c r="T38" s="204"/>
      <c r="U38" s="205"/>
      <c r="V38" s="206"/>
      <c r="W38" s="280"/>
    </row>
    <row r="39" spans="1:25" s="207" customFormat="1" ht="30" customHeight="1" x14ac:dyDescent="0.25">
      <c r="A39" s="281" t="s">
        <v>111</v>
      </c>
      <c r="B39" s="282"/>
      <c r="C39" s="283"/>
      <c r="D39" s="284"/>
      <c r="E39" s="198"/>
      <c r="F39" s="225"/>
      <c r="G39" s="273"/>
      <c r="H39" s="146"/>
      <c r="I39" s="147"/>
      <c r="J39" s="146"/>
      <c r="K39" s="199"/>
      <c r="L39" s="200"/>
      <c r="M39" s="276"/>
      <c r="N39" s="276"/>
      <c r="O39" s="277"/>
      <c r="P39" s="278"/>
      <c r="Q39" s="148"/>
      <c r="R39" s="149"/>
      <c r="S39" s="203"/>
      <c r="T39" s="204"/>
      <c r="U39" s="205"/>
      <c r="V39" s="206"/>
      <c r="W39" s="280"/>
    </row>
    <row r="40" spans="1:25" s="207" customFormat="1" ht="53.25" customHeight="1" x14ac:dyDescent="0.25">
      <c r="A40" s="689" t="s">
        <v>100</v>
      </c>
      <c r="B40" s="656" t="s">
        <v>120</v>
      </c>
      <c r="C40" s="657"/>
      <c r="D40" s="658"/>
      <c r="E40" s="198" t="s">
        <v>121</v>
      </c>
      <c r="F40" s="285">
        <v>1500</v>
      </c>
      <c r="G40" s="286">
        <v>6600000</v>
      </c>
      <c r="H40" s="274">
        <v>43498</v>
      </c>
      <c r="I40" s="275">
        <v>43799</v>
      </c>
      <c r="J40" s="278">
        <v>1500</v>
      </c>
      <c r="K40" s="287">
        <v>1224</v>
      </c>
      <c r="L40" s="288">
        <f>K40/J40</f>
        <v>0.81599999999999995</v>
      </c>
      <c r="M40" s="289">
        <v>6600000</v>
      </c>
      <c r="N40" s="276">
        <v>5385600</v>
      </c>
      <c r="O40" s="290">
        <f>N40/M40</f>
        <v>0.81599999999999995</v>
      </c>
      <c r="P40" s="291">
        <v>1224</v>
      </c>
      <c r="Q40" s="279">
        <f>O40</f>
        <v>0.81599999999999995</v>
      </c>
      <c r="R40" s="292">
        <f>N40</f>
        <v>5385600</v>
      </c>
      <c r="S40" s="293">
        <f>Q40</f>
        <v>0.81599999999999995</v>
      </c>
      <c r="T40" s="204"/>
      <c r="U40" s="205"/>
      <c r="V40" s="206"/>
      <c r="W40" s="272"/>
    </row>
    <row r="41" spans="1:25" s="207" customFormat="1" ht="53.25" customHeight="1" x14ac:dyDescent="0.25">
      <c r="A41" s="691"/>
      <c r="B41" s="656" t="s">
        <v>122</v>
      </c>
      <c r="C41" s="657"/>
      <c r="D41" s="658"/>
      <c r="E41" s="198" t="s">
        <v>123</v>
      </c>
      <c r="F41" s="225">
        <v>499537</v>
      </c>
      <c r="G41" s="273">
        <v>10026616</v>
      </c>
      <c r="H41" s="274">
        <v>43467</v>
      </c>
      <c r="I41" s="275">
        <v>43710</v>
      </c>
      <c r="J41" s="278">
        <v>499537</v>
      </c>
      <c r="K41" s="287">
        <v>499537</v>
      </c>
      <c r="L41" s="288">
        <f>K41/J41</f>
        <v>1</v>
      </c>
      <c r="M41" s="294">
        <v>10026616</v>
      </c>
      <c r="N41" s="276">
        <v>9581119.6600000001</v>
      </c>
      <c r="O41" s="290">
        <f>N41/M41</f>
        <v>0.95556862454890068</v>
      </c>
      <c r="P41" s="278">
        <v>499537</v>
      </c>
      <c r="Q41" s="279">
        <f>O41</f>
        <v>0.95556862454890068</v>
      </c>
      <c r="R41" s="292">
        <f t="shared" ref="R41:R46" si="1">N41</f>
        <v>9581119.6600000001</v>
      </c>
      <c r="S41" s="293">
        <f t="shared" ref="S41:S47" si="2">Q41</f>
        <v>0.95556862454890068</v>
      </c>
      <c r="T41" s="204"/>
      <c r="U41" s="205"/>
      <c r="V41" s="206"/>
      <c r="W41" s="280"/>
    </row>
    <row r="42" spans="1:25" s="207" customFormat="1" ht="53.25" customHeight="1" x14ac:dyDescent="0.25">
      <c r="A42" s="691"/>
      <c r="B42" s="656" t="s">
        <v>122</v>
      </c>
      <c r="C42" s="657"/>
      <c r="D42" s="658"/>
      <c r="E42" s="198" t="s">
        <v>123</v>
      </c>
      <c r="F42" s="225">
        <v>2360402</v>
      </c>
      <c r="G42" s="273">
        <v>24384275</v>
      </c>
      <c r="H42" s="274">
        <v>43467</v>
      </c>
      <c r="I42" s="275">
        <v>43585</v>
      </c>
      <c r="J42" s="278">
        <v>2360402</v>
      </c>
      <c r="K42" s="287">
        <v>2360402</v>
      </c>
      <c r="L42" s="288">
        <f>K42/J42</f>
        <v>1</v>
      </c>
      <c r="M42" s="294">
        <v>24384275</v>
      </c>
      <c r="N42" s="276">
        <v>24297026.359999999</v>
      </c>
      <c r="O42" s="290">
        <f>N42/M42</f>
        <v>0.99642193011684788</v>
      </c>
      <c r="P42" s="278">
        <v>2360402</v>
      </c>
      <c r="Q42" s="279">
        <f>O42</f>
        <v>0.99642193011684788</v>
      </c>
      <c r="R42" s="292">
        <f t="shared" si="1"/>
        <v>24297026.359999999</v>
      </c>
      <c r="S42" s="293">
        <f t="shared" si="2"/>
        <v>0.99642193011684788</v>
      </c>
      <c r="T42" s="204"/>
      <c r="U42" s="205"/>
      <c r="V42" s="206"/>
      <c r="W42" s="280"/>
    </row>
    <row r="43" spans="1:25" s="207" customFormat="1" ht="21" x14ac:dyDescent="0.25">
      <c r="A43" s="691"/>
      <c r="B43" s="656" t="s">
        <v>124</v>
      </c>
      <c r="C43" s="657"/>
      <c r="D43" s="658"/>
      <c r="E43" s="198" t="s">
        <v>121</v>
      </c>
      <c r="F43" s="225">
        <v>1360</v>
      </c>
      <c r="G43" s="273">
        <v>2258079</v>
      </c>
      <c r="H43" s="274">
        <v>43647</v>
      </c>
      <c r="I43" s="275">
        <v>43803</v>
      </c>
      <c r="J43" s="278">
        <v>1360</v>
      </c>
      <c r="K43" s="287">
        <v>0</v>
      </c>
      <c r="L43" s="288">
        <f t="shared" ref="L43:L44" si="3">K43/J43</f>
        <v>0</v>
      </c>
      <c r="M43" s="294">
        <v>2258079</v>
      </c>
      <c r="N43" s="276">
        <v>0</v>
      </c>
      <c r="O43" s="290">
        <f>N43/M43</f>
        <v>0</v>
      </c>
      <c r="P43" s="278">
        <v>0</v>
      </c>
      <c r="Q43" s="279">
        <f>O43</f>
        <v>0</v>
      </c>
      <c r="R43" s="292">
        <f t="shared" si="1"/>
        <v>0</v>
      </c>
      <c r="S43" s="293">
        <f t="shared" si="2"/>
        <v>0</v>
      </c>
      <c r="T43" s="204"/>
      <c r="U43" s="205"/>
      <c r="V43" s="206"/>
      <c r="W43" s="280"/>
    </row>
    <row r="44" spans="1:25" s="207" customFormat="1" ht="21" x14ac:dyDescent="0.25">
      <c r="A44" s="690"/>
      <c r="B44" s="656" t="s">
        <v>125</v>
      </c>
      <c r="C44" s="657"/>
      <c r="D44" s="658"/>
      <c r="E44" s="198" t="s">
        <v>102</v>
      </c>
      <c r="F44" s="285">
        <v>1360</v>
      </c>
      <c r="G44" s="286">
        <v>99949503</v>
      </c>
      <c r="H44" s="274">
        <v>43467</v>
      </c>
      <c r="I44" s="275">
        <v>43696</v>
      </c>
      <c r="J44" s="278">
        <v>1360</v>
      </c>
      <c r="K44" s="287">
        <v>0</v>
      </c>
      <c r="L44" s="288">
        <f t="shared" si="3"/>
        <v>0</v>
      </c>
      <c r="M44" s="295">
        <v>99949503</v>
      </c>
      <c r="N44" s="276">
        <v>0</v>
      </c>
      <c r="O44" s="290">
        <f>N44/M44</f>
        <v>0</v>
      </c>
      <c r="P44" s="291">
        <v>0</v>
      </c>
      <c r="Q44" s="279">
        <f>O44</f>
        <v>0</v>
      </c>
      <c r="R44" s="292">
        <f t="shared" si="1"/>
        <v>0</v>
      </c>
      <c r="S44" s="293">
        <f t="shared" si="2"/>
        <v>0</v>
      </c>
      <c r="T44" s="204"/>
      <c r="U44" s="205"/>
      <c r="V44" s="206"/>
      <c r="W44" s="272"/>
    </row>
    <row r="45" spans="1:25" s="207" customFormat="1" ht="30" customHeight="1" x14ac:dyDescent="0.25">
      <c r="A45" s="281" t="s">
        <v>115</v>
      </c>
      <c r="B45" s="686"/>
      <c r="C45" s="687"/>
      <c r="D45" s="688"/>
      <c r="E45" s="198"/>
      <c r="F45" s="99"/>
      <c r="G45" s="100"/>
      <c r="H45" s="146"/>
      <c r="I45" s="147"/>
      <c r="J45" s="146"/>
      <c r="K45" s="199"/>
      <c r="L45" s="296"/>
      <c r="M45" s="297"/>
      <c r="N45" s="298"/>
      <c r="O45" s="299"/>
      <c r="P45" s="278"/>
      <c r="Q45" s="279"/>
      <c r="R45" s="292"/>
      <c r="S45" s="293"/>
      <c r="T45" s="204"/>
      <c r="U45" s="205"/>
      <c r="V45" s="206"/>
      <c r="W45" s="280"/>
      <c r="Y45" s="300"/>
    </row>
    <row r="46" spans="1:25" s="207" customFormat="1" ht="69.75" x14ac:dyDescent="0.25">
      <c r="A46" s="301" t="s">
        <v>94</v>
      </c>
      <c r="B46" s="686" t="s">
        <v>95</v>
      </c>
      <c r="C46" s="687"/>
      <c r="D46" s="688"/>
      <c r="E46" s="198" t="s">
        <v>126</v>
      </c>
      <c r="F46" s="99" t="s">
        <v>96</v>
      </c>
      <c r="G46" s="286">
        <v>15022125</v>
      </c>
      <c r="H46" s="274">
        <v>43525</v>
      </c>
      <c r="I46" s="275">
        <v>43830</v>
      </c>
      <c r="J46" s="302" t="s">
        <v>96</v>
      </c>
      <c r="K46" s="199" t="s">
        <v>96</v>
      </c>
      <c r="L46" s="259" t="s">
        <v>96</v>
      </c>
      <c r="M46" s="295">
        <v>15022125</v>
      </c>
      <c r="N46" s="276">
        <v>2397900</v>
      </c>
      <c r="O46" s="290">
        <f>N46/M46</f>
        <v>0.15962455378316984</v>
      </c>
      <c r="P46" s="278" t="s">
        <v>96</v>
      </c>
      <c r="Q46" s="279">
        <f>O46</f>
        <v>0.15962455378316984</v>
      </c>
      <c r="R46" s="292">
        <f t="shared" si="1"/>
        <v>2397900</v>
      </c>
      <c r="S46" s="293">
        <f t="shared" si="2"/>
        <v>0.15962455378316984</v>
      </c>
      <c r="T46" s="204"/>
      <c r="U46" s="205"/>
      <c r="V46" s="206"/>
      <c r="W46" s="280"/>
    </row>
    <row r="47" spans="1:25" ht="23.25" customHeight="1" thickBot="1" x14ac:dyDescent="0.5">
      <c r="A47" s="303"/>
      <c r="B47" s="692"/>
      <c r="C47" s="693"/>
      <c r="D47" s="694"/>
      <c r="E47" s="113"/>
      <c r="F47" s="101"/>
      <c r="G47" s="100"/>
      <c r="H47" s="152"/>
      <c r="I47" s="153"/>
      <c r="J47" s="304">
        <f>J44+J43+J42+J41+J40+J38+J37</f>
        <v>2865159</v>
      </c>
      <c r="K47" s="304">
        <f>K44+K43+K42+K41+K40+K38+K37</f>
        <v>2861163</v>
      </c>
      <c r="L47" s="305">
        <f>K47/J47</f>
        <v>0.99860531300357158</v>
      </c>
      <c r="M47" s="107"/>
      <c r="N47" s="306"/>
      <c r="O47" s="307"/>
      <c r="P47" s="308">
        <f>SUM(P36:P46)</f>
        <v>2861163</v>
      </c>
      <c r="Q47" s="290">
        <f>P47/J47</f>
        <v>0.99860531300357158</v>
      </c>
      <c r="R47" s="155"/>
      <c r="S47" s="309">
        <f t="shared" si="2"/>
        <v>0.99860531300357158</v>
      </c>
      <c r="T47" s="162"/>
      <c r="U47" s="163"/>
      <c r="V47" s="164"/>
      <c r="W47" s="110"/>
    </row>
    <row r="48" spans="1:25" ht="21.75" thickBot="1" x14ac:dyDescent="0.4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2"/>
      <c r="M48" s="313">
        <f>SUM(M37:M47)</f>
        <v>233592959</v>
      </c>
      <c r="N48" s="313">
        <f>SUM(N37:N47)</f>
        <v>41661646.019999996</v>
      </c>
      <c r="O48" s="290">
        <f>N48/M48</f>
        <v>0.17835146315347628</v>
      </c>
      <c r="P48" s="311"/>
      <c r="Q48" s="314"/>
      <c r="R48" s="311"/>
      <c r="S48" s="312"/>
      <c r="T48" s="315"/>
      <c r="U48" s="315"/>
      <c r="V48" s="316"/>
      <c r="W48" s="111"/>
    </row>
    <row r="49" spans="1:23" ht="34.5" thickBot="1" x14ac:dyDescent="0.55000000000000004">
      <c r="A49" s="195" t="s">
        <v>39</v>
      </c>
      <c r="B49" s="597">
        <v>2020</v>
      </c>
      <c r="C49" s="598"/>
      <c r="D49" s="598"/>
      <c r="E49" s="598"/>
      <c r="F49" s="598"/>
      <c r="G49" s="598"/>
      <c r="H49" s="598"/>
      <c r="I49" s="598"/>
      <c r="J49" s="598"/>
      <c r="K49" s="598"/>
      <c r="L49" s="598"/>
      <c r="M49" s="598"/>
      <c r="N49" s="598"/>
      <c r="O49" s="598"/>
      <c r="P49" s="598"/>
      <c r="Q49" s="598"/>
      <c r="R49" s="598"/>
      <c r="S49" s="598"/>
      <c r="T49" s="599"/>
      <c r="U49" s="600"/>
      <c r="V49" s="88"/>
      <c r="W49" s="111"/>
    </row>
    <row r="50" spans="1:23" ht="34.5" thickBot="1" x14ac:dyDescent="0.35">
      <c r="A50" s="601" t="s">
        <v>42</v>
      </c>
      <c r="B50" s="604" t="s">
        <v>43</v>
      </c>
      <c r="C50" s="605"/>
      <c r="D50" s="606"/>
      <c r="E50" s="606" t="s">
        <v>44</v>
      </c>
      <c r="F50" s="613" t="s">
        <v>64</v>
      </c>
      <c r="G50" s="614"/>
      <c r="H50" s="615" t="s">
        <v>80</v>
      </c>
      <c r="I50" s="616"/>
      <c r="J50" s="617" t="s">
        <v>81</v>
      </c>
      <c r="K50" s="618"/>
      <c r="L50" s="619"/>
      <c r="M50" s="620" t="s">
        <v>82</v>
      </c>
      <c r="N50" s="621"/>
      <c r="O50" s="622"/>
      <c r="P50" s="623" t="s">
        <v>83</v>
      </c>
      <c r="Q50" s="624"/>
      <c r="R50" s="625" t="s">
        <v>84</v>
      </c>
      <c r="S50" s="626"/>
      <c r="T50" s="627" t="s">
        <v>85</v>
      </c>
      <c r="U50" s="628"/>
      <c r="V50" s="629"/>
      <c r="W50" s="111"/>
    </row>
    <row r="51" spans="1:23" ht="18.75" x14ac:dyDescent="0.3">
      <c r="A51" s="602"/>
      <c r="B51" s="607"/>
      <c r="C51" s="608"/>
      <c r="D51" s="609"/>
      <c r="E51" s="609"/>
      <c r="F51" s="636" t="s">
        <v>49</v>
      </c>
      <c r="G51" s="670" t="s">
        <v>48</v>
      </c>
      <c r="H51" s="672" t="s">
        <v>75</v>
      </c>
      <c r="I51" s="674" t="s">
        <v>76</v>
      </c>
      <c r="J51" s="676" t="s">
        <v>50</v>
      </c>
      <c r="K51" s="659" t="s">
        <v>38</v>
      </c>
      <c r="L51" s="678" t="s">
        <v>37</v>
      </c>
      <c r="M51" s="659" t="s">
        <v>50</v>
      </c>
      <c r="N51" s="659" t="s">
        <v>38</v>
      </c>
      <c r="O51" s="662" t="s">
        <v>37</v>
      </c>
      <c r="P51" s="664" t="s">
        <v>77</v>
      </c>
      <c r="Q51" s="666" t="s">
        <v>78</v>
      </c>
      <c r="R51" s="668" t="s">
        <v>79</v>
      </c>
      <c r="S51" s="651" t="s">
        <v>78</v>
      </c>
      <c r="T51" s="630"/>
      <c r="U51" s="631"/>
      <c r="V51" s="632"/>
      <c r="W51" s="111"/>
    </row>
    <row r="52" spans="1:23" ht="50.25" customHeight="1" thickBot="1" x14ac:dyDescent="0.35">
      <c r="A52" s="603"/>
      <c r="B52" s="610"/>
      <c r="C52" s="611"/>
      <c r="D52" s="612"/>
      <c r="E52" s="612"/>
      <c r="F52" s="637"/>
      <c r="G52" s="671"/>
      <c r="H52" s="673"/>
      <c r="I52" s="675"/>
      <c r="J52" s="677"/>
      <c r="K52" s="661"/>
      <c r="L52" s="679"/>
      <c r="M52" s="660"/>
      <c r="N52" s="661"/>
      <c r="O52" s="663"/>
      <c r="P52" s="665"/>
      <c r="Q52" s="667"/>
      <c r="R52" s="669"/>
      <c r="S52" s="652"/>
      <c r="T52" s="633"/>
      <c r="U52" s="634"/>
      <c r="V52" s="635"/>
      <c r="W52" s="111"/>
    </row>
    <row r="53" spans="1:23" ht="30" customHeight="1" x14ac:dyDescent="0.3">
      <c r="A53" s="267" t="s">
        <v>104</v>
      </c>
      <c r="B53" s="653"/>
      <c r="C53" s="654"/>
      <c r="D53" s="655"/>
      <c r="E53" s="174"/>
      <c r="F53" s="97"/>
      <c r="G53" s="98"/>
      <c r="H53" s="84"/>
      <c r="I53" s="142"/>
      <c r="J53" s="84"/>
      <c r="K53" s="87"/>
      <c r="L53" s="90"/>
      <c r="M53" s="102"/>
      <c r="N53" s="102"/>
      <c r="O53" s="268"/>
      <c r="P53" s="84"/>
      <c r="Q53" s="143"/>
      <c r="R53" s="144"/>
      <c r="S53" s="145"/>
      <c r="T53" s="269"/>
      <c r="U53" s="270"/>
      <c r="V53" s="271"/>
      <c r="W53" s="111"/>
    </row>
    <row r="54" spans="1:23" ht="51.75" customHeight="1" x14ac:dyDescent="0.3">
      <c r="A54" s="689" t="s">
        <v>92</v>
      </c>
      <c r="B54" s="656" t="s">
        <v>127</v>
      </c>
      <c r="C54" s="657"/>
      <c r="D54" s="658"/>
      <c r="E54" s="198" t="s">
        <v>97</v>
      </c>
      <c r="F54" s="225">
        <v>137</v>
      </c>
      <c r="G54" s="273">
        <v>26734500</v>
      </c>
      <c r="H54" s="274"/>
      <c r="I54" s="275"/>
      <c r="J54" s="146">
        <v>137</v>
      </c>
      <c r="K54" s="199">
        <v>81</v>
      </c>
      <c r="L54" s="200">
        <f>K54/J54</f>
        <v>0.59124087591240881</v>
      </c>
      <c r="M54" s="276">
        <v>26734500</v>
      </c>
      <c r="N54" s="276">
        <v>15999000</v>
      </c>
      <c r="O54" s="277">
        <f>N54/M54</f>
        <v>0.59844021769623523</v>
      </c>
      <c r="P54" s="278">
        <v>81</v>
      </c>
      <c r="Q54" s="317">
        <f>P54/J54</f>
        <v>0.59124087591240881</v>
      </c>
      <c r="R54" s="149">
        <f>N54</f>
        <v>15999000</v>
      </c>
      <c r="S54" s="203">
        <f>O54</f>
        <v>0.59844021769623523</v>
      </c>
      <c r="T54" s="204"/>
      <c r="U54" s="205"/>
      <c r="V54" s="206"/>
      <c r="W54" s="111"/>
    </row>
    <row r="55" spans="1:23" ht="51.75" customHeight="1" x14ac:dyDescent="0.3">
      <c r="A55" s="690"/>
      <c r="B55" s="656" t="s">
        <v>128</v>
      </c>
      <c r="C55" s="657"/>
      <c r="D55" s="658"/>
      <c r="E55" s="198" t="s">
        <v>97</v>
      </c>
      <c r="F55" s="225">
        <v>200</v>
      </c>
      <c r="G55" s="273">
        <v>50660000</v>
      </c>
      <c r="H55" s="274"/>
      <c r="I55" s="275"/>
      <c r="J55" s="146">
        <v>200</v>
      </c>
      <c r="K55" s="199">
        <v>135</v>
      </c>
      <c r="L55" s="200">
        <f t="shared" ref="L55:L59" si="4">K55/J55</f>
        <v>0.67500000000000004</v>
      </c>
      <c r="M55" s="276">
        <v>50660000</v>
      </c>
      <c r="N55" s="276">
        <v>33318500</v>
      </c>
      <c r="O55" s="277">
        <f t="shared" ref="O55:O59" si="5">N55/M55</f>
        <v>0.65768851164626929</v>
      </c>
      <c r="P55" s="278">
        <v>135</v>
      </c>
      <c r="Q55" s="317">
        <f>P55/J55</f>
        <v>0.67500000000000004</v>
      </c>
      <c r="R55" s="149">
        <f t="shared" ref="R55:S64" si="6">N55</f>
        <v>33318500</v>
      </c>
      <c r="S55" s="203">
        <f t="shared" si="6"/>
        <v>0.65768851164626929</v>
      </c>
      <c r="T55" s="204"/>
      <c r="U55" s="205"/>
      <c r="V55" s="206"/>
      <c r="W55" s="111"/>
    </row>
    <row r="56" spans="1:23" ht="51.75" customHeight="1" x14ac:dyDescent="0.3">
      <c r="A56" s="318"/>
      <c r="B56" s="656" t="s">
        <v>129</v>
      </c>
      <c r="C56" s="657"/>
      <c r="D56" s="658"/>
      <c r="E56" s="198" t="s">
        <v>130</v>
      </c>
      <c r="F56" s="225">
        <v>137</v>
      </c>
      <c r="G56" s="273">
        <v>2070080</v>
      </c>
      <c r="H56" s="274"/>
      <c r="I56" s="275"/>
      <c r="J56" s="146">
        <v>137</v>
      </c>
      <c r="K56" s="199">
        <v>135</v>
      </c>
      <c r="L56" s="200">
        <f t="shared" si="4"/>
        <v>0.98540145985401462</v>
      </c>
      <c r="M56" s="276">
        <v>2100300</v>
      </c>
      <c r="N56" s="276">
        <v>2070080</v>
      </c>
      <c r="O56" s="277">
        <f t="shared" si="5"/>
        <v>0.98561157929819554</v>
      </c>
      <c r="P56" s="278">
        <v>135</v>
      </c>
      <c r="Q56" s="317">
        <f t="shared" ref="Q56:Q59" si="7">P56/J56</f>
        <v>0.98540145985401462</v>
      </c>
      <c r="R56" s="149">
        <f t="shared" si="6"/>
        <v>2070080</v>
      </c>
      <c r="S56" s="203">
        <f t="shared" si="6"/>
        <v>0.98561157929819554</v>
      </c>
      <c r="T56" s="204"/>
      <c r="U56" s="205"/>
      <c r="V56" s="206"/>
      <c r="W56" s="111"/>
    </row>
    <row r="57" spans="1:23" ht="51.75" customHeight="1" x14ac:dyDescent="0.3">
      <c r="A57" s="318"/>
      <c r="B57" s="656" t="s">
        <v>131</v>
      </c>
      <c r="C57" s="657"/>
      <c r="D57" s="658"/>
      <c r="E57" s="198" t="s">
        <v>130</v>
      </c>
      <c r="F57" s="225">
        <v>200</v>
      </c>
      <c r="G57" s="273">
        <v>3027340</v>
      </c>
      <c r="H57" s="274"/>
      <c r="I57" s="275"/>
      <c r="J57" s="146">
        <v>200</v>
      </c>
      <c r="K57" s="199">
        <v>200</v>
      </c>
      <c r="L57" s="200">
        <f t="shared" si="4"/>
        <v>1</v>
      </c>
      <c r="M57" s="276">
        <v>3027340</v>
      </c>
      <c r="N57" s="276">
        <v>3027340</v>
      </c>
      <c r="O57" s="277">
        <f t="shared" si="5"/>
        <v>1</v>
      </c>
      <c r="P57" s="278">
        <v>200</v>
      </c>
      <c r="Q57" s="317">
        <f t="shared" si="7"/>
        <v>1</v>
      </c>
      <c r="R57" s="149">
        <f t="shared" si="6"/>
        <v>3027340</v>
      </c>
      <c r="S57" s="203">
        <f t="shared" si="6"/>
        <v>1</v>
      </c>
      <c r="T57" s="204"/>
      <c r="U57" s="205"/>
      <c r="V57" s="206"/>
      <c r="W57" s="111"/>
    </row>
    <row r="58" spans="1:23" ht="51.75" customHeight="1" x14ac:dyDescent="0.3">
      <c r="A58" s="318"/>
      <c r="B58" s="656" t="s">
        <v>132</v>
      </c>
      <c r="C58" s="657"/>
      <c r="D58" s="658"/>
      <c r="E58" s="198" t="s">
        <v>133</v>
      </c>
      <c r="F58" s="225">
        <v>1000</v>
      </c>
      <c r="G58" s="273">
        <v>68375505</v>
      </c>
      <c r="H58" s="274"/>
      <c r="I58" s="275"/>
      <c r="J58" s="146">
        <v>820</v>
      </c>
      <c r="K58" s="199">
        <v>733</v>
      </c>
      <c r="L58" s="200">
        <f t="shared" si="4"/>
        <v>0.89390243902439026</v>
      </c>
      <c r="M58" s="276">
        <v>71776239</v>
      </c>
      <c r="N58" s="276">
        <v>69809785.319999993</v>
      </c>
      <c r="O58" s="277">
        <f t="shared" si="5"/>
        <v>0.97260299916243864</v>
      </c>
      <c r="P58" s="278">
        <v>733</v>
      </c>
      <c r="Q58" s="317">
        <f t="shared" si="7"/>
        <v>0.89390243902439026</v>
      </c>
      <c r="R58" s="149">
        <f t="shared" si="6"/>
        <v>69809785.319999993</v>
      </c>
      <c r="S58" s="203">
        <f t="shared" si="6"/>
        <v>0.97260299916243864</v>
      </c>
      <c r="T58" s="204"/>
      <c r="U58" s="205"/>
      <c r="V58" s="206"/>
      <c r="W58" s="111"/>
    </row>
    <row r="59" spans="1:23" ht="51.75" customHeight="1" x14ac:dyDescent="0.3">
      <c r="A59" s="318"/>
      <c r="B59" s="656" t="s">
        <v>134</v>
      </c>
      <c r="C59" s="657"/>
      <c r="D59" s="658"/>
      <c r="E59" s="198" t="s">
        <v>133</v>
      </c>
      <c r="F59" s="225">
        <v>292</v>
      </c>
      <c r="G59" s="273">
        <v>17765881</v>
      </c>
      <c r="H59" s="274"/>
      <c r="I59" s="275"/>
      <c r="J59" s="146">
        <v>638</v>
      </c>
      <c r="K59" s="199">
        <v>407</v>
      </c>
      <c r="L59" s="200">
        <f t="shared" si="4"/>
        <v>0.63793103448275867</v>
      </c>
      <c r="M59" s="276">
        <v>42192897</v>
      </c>
      <c r="N59" s="276">
        <v>29968440.899999999</v>
      </c>
      <c r="O59" s="277">
        <f t="shared" si="5"/>
        <v>0.71027217922485864</v>
      </c>
      <c r="P59" s="278">
        <v>407</v>
      </c>
      <c r="Q59" s="317">
        <f t="shared" si="7"/>
        <v>0.63793103448275867</v>
      </c>
      <c r="R59" s="149">
        <f t="shared" si="6"/>
        <v>29968440.899999999</v>
      </c>
      <c r="S59" s="203">
        <f t="shared" si="6"/>
        <v>0.71027217922485864</v>
      </c>
      <c r="T59" s="204"/>
      <c r="U59" s="205"/>
      <c r="V59" s="206"/>
      <c r="W59" s="111"/>
    </row>
    <row r="60" spans="1:23" ht="30" customHeight="1" x14ac:dyDescent="0.3">
      <c r="A60" s="281" t="s">
        <v>111</v>
      </c>
      <c r="B60" s="282"/>
      <c r="C60" s="283"/>
      <c r="D60" s="284"/>
      <c r="E60" s="198"/>
      <c r="F60" s="225"/>
      <c r="G60" s="273"/>
      <c r="H60" s="146"/>
      <c r="I60" s="147"/>
      <c r="J60" s="146"/>
      <c r="K60" s="199"/>
      <c r="L60" s="200"/>
      <c r="M60" s="276"/>
      <c r="N60" s="276"/>
      <c r="O60" s="277"/>
      <c r="P60" s="278"/>
      <c r="Q60" s="148"/>
      <c r="R60" s="149"/>
      <c r="S60" s="203"/>
      <c r="T60" s="204"/>
      <c r="U60" s="205"/>
      <c r="V60" s="206"/>
      <c r="W60" s="111"/>
    </row>
    <row r="61" spans="1:23" ht="69.75" customHeight="1" x14ac:dyDescent="0.3">
      <c r="A61" s="689" t="s">
        <v>100</v>
      </c>
      <c r="B61" s="656" t="s">
        <v>135</v>
      </c>
      <c r="C61" s="657"/>
      <c r="D61" s="658"/>
      <c r="E61" s="198" t="s">
        <v>121</v>
      </c>
      <c r="F61" s="285">
        <v>1224</v>
      </c>
      <c r="G61" s="286">
        <v>16156800</v>
      </c>
      <c r="H61" s="274"/>
      <c r="I61" s="275"/>
      <c r="J61" s="278">
        <v>1224</v>
      </c>
      <c r="K61" s="287">
        <v>1032</v>
      </c>
      <c r="L61" s="200">
        <f t="shared" ref="L61" si="8">K61/J61</f>
        <v>0.84313725490196079</v>
      </c>
      <c r="M61" s="289">
        <v>13889066</v>
      </c>
      <c r="N61" s="276">
        <v>13222880</v>
      </c>
      <c r="O61" s="277">
        <f t="shared" ref="O61:O64" si="9">N61/M61</f>
        <v>0.95203521964687909</v>
      </c>
      <c r="P61" s="278">
        <v>1032</v>
      </c>
      <c r="Q61" s="317">
        <f t="shared" ref="Q61" si="10">P61/J61</f>
        <v>0.84313725490196079</v>
      </c>
      <c r="R61" s="149">
        <v>13222880</v>
      </c>
      <c r="S61" s="203">
        <f t="shared" si="6"/>
        <v>0.95203521964687909</v>
      </c>
      <c r="T61" s="204"/>
      <c r="U61" s="205"/>
      <c r="V61" s="206"/>
      <c r="W61" s="111"/>
    </row>
    <row r="62" spans="1:23" ht="51.75" customHeight="1" x14ac:dyDescent="0.3">
      <c r="A62" s="690"/>
      <c r="B62" s="656" t="s">
        <v>136</v>
      </c>
      <c r="C62" s="657"/>
      <c r="D62" s="658"/>
      <c r="E62" s="198"/>
      <c r="F62" s="225"/>
      <c r="G62" s="273"/>
      <c r="H62" s="274"/>
      <c r="I62" s="275"/>
      <c r="J62" s="278"/>
      <c r="K62" s="287"/>
      <c r="L62" s="288"/>
      <c r="M62" s="294">
        <v>11969780</v>
      </c>
      <c r="N62" s="276">
        <v>0</v>
      </c>
      <c r="O62" s="277">
        <f t="shared" si="9"/>
        <v>0</v>
      </c>
      <c r="P62" s="278">
        <v>0</v>
      </c>
      <c r="Q62" s="317"/>
      <c r="R62" s="149">
        <f t="shared" si="6"/>
        <v>0</v>
      </c>
      <c r="S62" s="203">
        <f t="shared" si="6"/>
        <v>0</v>
      </c>
      <c r="T62" s="204"/>
      <c r="U62" s="205"/>
      <c r="V62" s="206"/>
      <c r="W62" s="111"/>
    </row>
    <row r="63" spans="1:23" ht="30" customHeight="1" x14ac:dyDescent="0.3">
      <c r="A63" s="281" t="s">
        <v>115</v>
      </c>
      <c r="B63" s="686"/>
      <c r="C63" s="687"/>
      <c r="D63" s="688"/>
      <c r="E63" s="198"/>
      <c r="F63" s="99"/>
      <c r="G63" s="100"/>
      <c r="H63" s="146"/>
      <c r="I63" s="147"/>
      <c r="J63" s="146"/>
      <c r="K63" s="199"/>
      <c r="L63" s="200"/>
      <c r="M63" s="298"/>
      <c r="N63" s="298"/>
      <c r="O63" s="299"/>
      <c r="P63" s="278"/>
      <c r="Q63" s="317"/>
      <c r="R63" s="149"/>
      <c r="S63" s="203"/>
      <c r="T63" s="204"/>
      <c r="U63" s="205"/>
      <c r="V63" s="206"/>
      <c r="W63" s="111"/>
    </row>
    <row r="64" spans="1:23" ht="69.75" x14ac:dyDescent="0.25">
      <c r="A64" s="301" t="s">
        <v>94</v>
      </c>
      <c r="B64" s="686" t="s">
        <v>95</v>
      </c>
      <c r="C64" s="687"/>
      <c r="D64" s="688"/>
      <c r="E64" s="198" t="s">
        <v>126</v>
      </c>
      <c r="F64" s="99" t="s">
        <v>96</v>
      </c>
      <c r="G64" s="286">
        <v>3375198</v>
      </c>
      <c r="H64" s="274" t="s">
        <v>96</v>
      </c>
      <c r="I64" s="274" t="s">
        <v>96</v>
      </c>
      <c r="J64" s="319" t="s">
        <v>96</v>
      </c>
      <c r="K64" s="320" t="s">
        <v>96</v>
      </c>
      <c r="L64" s="259" t="s">
        <v>96</v>
      </c>
      <c r="M64" s="294">
        <v>4167198</v>
      </c>
      <c r="N64" s="276">
        <v>2747106.59</v>
      </c>
      <c r="O64" s="277">
        <f t="shared" si="9"/>
        <v>0.65922151767206638</v>
      </c>
      <c r="P64" s="278" t="s">
        <v>96</v>
      </c>
      <c r="Q64" s="317" t="s">
        <v>96</v>
      </c>
      <c r="R64" s="149">
        <f t="shared" si="6"/>
        <v>2747106.59</v>
      </c>
      <c r="S64" s="203">
        <f t="shared" si="6"/>
        <v>0.65922151767206638</v>
      </c>
      <c r="T64" s="204"/>
      <c r="U64" s="205"/>
      <c r="V64" s="206"/>
    </row>
    <row r="65" spans="1:22" ht="29.25" thickBot="1" x14ac:dyDescent="0.5">
      <c r="A65" s="303"/>
      <c r="B65" s="692"/>
      <c r="C65" s="693"/>
      <c r="D65" s="694"/>
      <c r="E65" s="113"/>
      <c r="F65" s="101"/>
      <c r="G65" s="100"/>
      <c r="H65" s="152"/>
      <c r="I65" s="153"/>
      <c r="J65" s="95"/>
      <c r="K65" s="91"/>
      <c r="L65" s="305"/>
      <c r="M65" s="107"/>
      <c r="N65" s="306"/>
      <c r="O65" s="277"/>
      <c r="P65" s="95"/>
      <c r="Q65" s="154"/>
      <c r="R65" s="155"/>
      <c r="S65" s="309"/>
      <c r="T65" s="162"/>
      <c r="U65" s="163"/>
      <c r="V65" s="164"/>
    </row>
    <row r="66" spans="1:22" ht="21.75" thickBot="1" x14ac:dyDescent="0.4">
      <c r="A66" s="310"/>
      <c r="B66" s="311"/>
      <c r="C66" s="311"/>
      <c r="D66" s="311"/>
      <c r="E66" s="311"/>
      <c r="F66" s="311"/>
      <c r="G66" s="313">
        <f>SUM(G54:G64)</f>
        <v>188165304</v>
      </c>
      <c r="H66" s="311"/>
      <c r="I66" s="311"/>
      <c r="J66" s="311">
        <f>SUM(J54:J65)</f>
        <v>3356</v>
      </c>
      <c r="K66" s="311">
        <f>SUM(K54:K65)</f>
        <v>2723</v>
      </c>
      <c r="L66" s="312">
        <f>K66/J66</f>
        <v>0.81138259833134685</v>
      </c>
      <c r="M66" s="313">
        <f>SUM(M54:M65)</f>
        <v>226517320</v>
      </c>
      <c r="N66" s="313">
        <f>SUM(N54:N65)</f>
        <v>170163132.81</v>
      </c>
      <c r="O66" s="321">
        <f>N66/M66</f>
        <v>0.75121466566000339</v>
      </c>
      <c r="P66" s="322">
        <f>SUM(P54:P62)</f>
        <v>2723</v>
      </c>
      <c r="Q66" s="323">
        <f>P66/J66</f>
        <v>0.81138259833134685</v>
      </c>
      <c r="R66" s="324">
        <f>SUM(R54:R65)</f>
        <v>170163132.81</v>
      </c>
      <c r="S66" s="312"/>
      <c r="T66" s="315"/>
      <c r="U66" s="315"/>
      <c r="V66" s="316"/>
    </row>
    <row r="67" spans="1:22" ht="34.5" thickBot="1" x14ac:dyDescent="0.55000000000000004">
      <c r="A67" s="195" t="s">
        <v>39</v>
      </c>
      <c r="B67" s="597">
        <v>2021</v>
      </c>
      <c r="C67" s="598"/>
      <c r="D67" s="598"/>
      <c r="E67" s="598"/>
      <c r="F67" s="598"/>
      <c r="G67" s="598"/>
      <c r="H67" s="598"/>
      <c r="I67" s="598"/>
      <c r="J67" s="598"/>
      <c r="K67" s="598"/>
      <c r="L67" s="598"/>
      <c r="M67" s="598"/>
      <c r="N67" s="598"/>
      <c r="O67" s="598"/>
      <c r="P67" s="598"/>
      <c r="Q67" s="598"/>
      <c r="R67" s="598"/>
      <c r="S67" s="598"/>
      <c r="T67" s="599"/>
      <c r="U67" s="600"/>
      <c r="V67" s="88"/>
    </row>
    <row r="68" spans="1:22" ht="34.5" customHeight="1" thickBot="1" x14ac:dyDescent="0.3">
      <c r="A68" s="601" t="s">
        <v>42</v>
      </c>
      <c r="B68" s="604" t="s">
        <v>43</v>
      </c>
      <c r="C68" s="605"/>
      <c r="D68" s="606"/>
      <c r="E68" s="606" t="s">
        <v>44</v>
      </c>
      <c r="F68" s="613" t="s">
        <v>64</v>
      </c>
      <c r="G68" s="614"/>
      <c r="H68" s="615" t="s">
        <v>80</v>
      </c>
      <c r="I68" s="616"/>
      <c r="J68" s="617" t="s">
        <v>81</v>
      </c>
      <c r="K68" s="618"/>
      <c r="L68" s="619"/>
      <c r="M68" s="620" t="s">
        <v>82</v>
      </c>
      <c r="N68" s="621"/>
      <c r="O68" s="622"/>
      <c r="P68" s="623" t="s">
        <v>83</v>
      </c>
      <c r="Q68" s="624"/>
      <c r="R68" s="625" t="s">
        <v>84</v>
      </c>
      <c r="S68" s="626"/>
      <c r="T68" s="627" t="s">
        <v>85</v>
      </c>
      <c r="U68" s="628"/>
      <c r="V68" s="629"/>
    </row>
    <row r="69" spans="1:22" ht="36.75" customHeight="1" x14ac:dyDescent="0.25">
      <c r="A69" s="602"/>
      <c r="B69" s="607"/>
      <c r="C69" s="608"/>
      <c r="D69" s="609"/>
      <c r="E69" s="609"/>
      <c r="F69" s="636" t="s">
        <v>49</v>
      </c>
      <c r="G69" s="670" t="s">
        <v>48</v>
      </c>
      <c r="H69" s="672" t="s">
        <v>75</v>
      </c>
      <c r="I69" s="674" t="s">
        <v>76</v>
      </c>
      <c r="J69" s="676" t="s">
        <v>50</v>
      </c>
      <c r="K69" s="659" t="s">
        <v>38</v>
      </c>
      <c r="L69" s="678" t="s">
        <v>37</v>
      </c>
      <c r="M69" s="659" t="s">
        <v>50</v>
      </c>
      <c r="N69" s="659" t="s">
        <v>38</v>
      </c>
      <c r="O69" s="662" t="s">
        <v>37</v>
      </c>
      <c r="P69" s="664" t="s">
        <v>77</v>
      </c>
      <c r="Q69" s="666" t="s">
        <v>78</v>
      </c>
      <c r="R69" s="668" t="s">
        <v>79</v>
      </c>
      <c r="S69" s="651" t="s">
        <v>78</v>
      </c>
      <c r="T69" s="630"/>
      <c r="U69" s="631"/>
      <c r="V69" s="632"/>
    </row>
    <row r="70" spans="1:22" ht="57" customHeight="1" thickBot="1" x14ac:dyDescent="0.3">
      <c r="A70" s="603"/>
      <c r="B70" s="610"/>
      <c r="C70" s="611"/>
      <c r="D70" s="612"/>
      <c r="E70" s="612"/>
      <c r="F70" s="637"/>
      <c r="G70" s="671"/>
      <c r="H70" s="673"/>
      <c r="I70" s="675"/>
      <c r="J70" s="677"/>
      <c r="K70" s="661"/>
      <c r="L70" s="679"/>
      <c r="M70" s="660"/>
      <c r="N70" s="661"/>
      <c r="O70" s="663"/>
      <c r="P70" s="665"/>
      <c r="Q70" s="667"/>
      <c r="R70" s="669"/>
      <c r="S70" s="652"/>
      <c r="T70" s="633"/>
      <c r="U70" s="634"/>
      <c r="V70" s="635"/>
    </row>
    <row r="71" spans="1:22" ht="30" customHeight="1" x14ac:dyDescent="0.25">
      <c r="A71" s="267" t="s">
        <v>104</v>
      </c>
      <c r="B71" s="653"/>
      <c r="C71" s="654"/>
      <c r="D71" s="655"/>
      <c r="E71" s="174"/>
      <c r="F71" s="97"/>
      <c r="G71" s="98"/>
      <c r="H71" s="84"/>
      <c r="I71" s="142"/>
      <c r="J71" s="84"/>
      <c r="K71" s="87"/>
      <c r="L71" s="325"/>
      <c r="M71" s="326"/>
      <c r="N71" s="327"/>
      <c r="O71" s="328"/>
      <c r="P71" s="329"/>
      <c r="Q71" s="330"/>
      <c r="R71" s="144"/>
      <c r="S71" s="145"/>
      <c r="T71" s="269"/>
      <c r="U71" s="270"/>
      <c r="V71" s="271"/>
    </row>
    <row r="72" spans="1:22" ht="53.25" customHeight="1" x14ac:dyDescent="0.25">
      <c r="A72" s="689" t="s">
        <v>92</v>
      </c>
      <c r="B72" s="656" t="s">
        <v>127</v>
      </c>
      <c r="C72" s="657"/>
      <c r="D72" s="658"/>
      <c r="E72" s="198" t="s">
        <v>97</v>
      </c>
      <c r="F72" s="225">
        <v>0</v>
      </c>
      <c r="G72" s="273">
        <v>0</v>
      </c>
      <c r="H72" s="274">
        <v>44197</v>
      </c>
      <c r="I72" s="274">
        <v>44561</v>
      </c>
      <c r="J72" s="146">
        <f>'[1]IAFF (1)'!G19</f>
        <v>106</v>
      </c>
      <c r="K72" s="199">
        <f>'[1]IAFF (1)'!H19</f>
        <v>32</v>
      </c>
      <c r="L72" s="331">
        <f>K72/J72</f>
        <v>0.30188679245283018</v>
      </c>
      <c r="M72" s="294">
        <f>'[1]IAFF (1)'!K19</f>
        <v>23136000</v>
      </c>
      <c r="N72" s="276">
        <f>'[1]IAFF (1)'!L19</f>
        <v>6245000</v>
      </c>
      <c r="O72" s="332">
        <f>N72/M72</f>
        <v>0.2699256569847856</v>
      </c>
      <c r="P72" s="278">
        <f>K72</f>
        <v>32</v>
      </c>
      <c r="Q72" s="333">
        <f>L72</f>
        <v>0.30188679245283018</v>
      </c>
      <c r="R72" s="149">
        <f t="shared" ref="R72:S77" si="11">N72</f>
        <v>6245000</v>
      </c>
      <c r="S72" s="203">
        <f t="shared" si="11"/>
        <v>0.2699256569847856</v>
      </c>
      <c r="T72" s="204"/>
      <c r="U72" s="205"/>
      <c r="V72" s="206"/>
    </row>
    <row r="73" spans="1:22" ht="43.5" customHeight="1" x14ac:dyDescent="0.25">
      <c r="A73" s="691"/>
      <c r="B73" s="656" t="s">
        <v>128</v>
      </c>
      <c r="C73" s="657"/>
      <c r="D73" s="658"/>
      <c r="E73" s="198" t="s">
        <v>97</v>
      </c>
      <c r="F73" s="225">
        <v>0</v>
      </c>
      <c r="G73" s="273">
        <v>0</v>
      </c>
      <c r="H73" s="274">
        <v>44197</v>
      </c>
      <c r="I73" s="274">
        <v>44561</v>
      </c>
      <c r="J73" s="146">
        <f>'[1]IAFF (1)'!G20</f>
        <v>86</v>
      </c>
      <c r="K73" s="199">
        <f>'[1]IAFF (1)'!H20</f>
        <v>37</v>
      </c>
      <c r="L73" s="331">
        <f>K73/J73</f>
        <v>0.43023255813953487</v>
      </c>
      <c r="M73" s="294">
        <f>'[1]IAFF (1)'!K20</f>
        <v>22113000</v>
      </c>
      <c r="N73" s="276">
        <f>'[1]IAFF (1)'!L20</f>
        <v>7805300</v>
      </c>
      <c r="O73" s="332">
        <f>N73/M73</f>
        <v>0.35297336408447522</v>
      </c>
      <c r="P73" s="278">
        <f t="shared" ref="P73:Q81" si="12">K73</f>
        <v>37</v>
      </c>
      <c r="Q73" s="333">
        <f t="shared" si="12"/>
        <v>0.43023255813953487</v>
      </c>
      <c r="R73" s="149">
        <f t="shared" si="11"/>
        <v>7805300</v>
      </c>
      <c r="S73" s="203">
        <f t="shared" si="11"/>
        <v>0.35297336408447522</v>
      </c>
      <c r="T73" s="204"/>
      <c r="U73" s="205"/>
      <c r="V73" s="206"/>
    </row>
    <row r="74" spans="1:22" ht="37.5" customHeight="1" x14ac:dyDescent="0.25">
      <c r="A74" s="691"/>
      <c r="B74" s="656" t="s">
        <v>129</v>
      </c>
      <c r="C74" s="657"/>
      <c r="D74" s="658"/>
      <c r="E74" s="198" t="s">
        <v>130</v>
      </c>
      <c r="F74" s="225">
        <v>0</v>
      </c>
      <c r="G74" s="273">
        <v>0</v>
      </c>
      <c r="H74" s="274">
        <v>44197</v>
      </c>
      <c r="I74" s="274">
        <v>44561</v>
      </c>
      <c r="J74" s="146">
        <f>'[1]IAFF (1)'!G21</f>
        <v>57</v>
      </c>
      <c r="K74" s="199">
        <f>'[1]IAFF (1)'!H22</f>
        <v>0</v>
      </c>
      <c r="L74" s="331">
        <v>0</v>
      </c>
      <c r="M74" s="294">
        <f>'[1]IAFF (1)'!K21</f>
        <v>876543</v>
      </c>
      <c r="N74" s="276">
        <f>'[1]IAFF (1)'!L21</f>
        <v>0</v>
      </c>
      <c r="O74" s="332">
        <v>0</v>
      </c>
      <c r="P74" s="278">
        <f t="shared" si="12"/>
        <v>0</v>
      </c>
      <c r="Q74" s="333">
        <f t="shared" si="12"/>
        <v>0</v>
      </c>
      <c r="R74" s="149">
        <f t="shared" si="11"/>
        <v>0</v>
      </c>
      <c r="S74" s="203">
        <v>0</v>
      </c>
      <c r="T74" s="204"/>
      <c r="U74" s="205"/>
      <c r="V74" s="206"/>
    </row>
    <row r="75" spans="1:22" ht="37.5" customHeight="1" x14ac:dyDescent="0.25">
      <c r="A75" s="691"/>
      <c r="B75" s="656" t="s">
        <v>131</v>
      </c>
      <c r="C75" s="657"/>
      <c r="D75" s="658"/>
      <c r="E75" s="198" t="s">
        <v>130</v>
      </c>
      <c r="F75" s="225">
        <v>0</v>
      </c>
      <c r="G75" s="273">
        <v>0</v>
      </c>
      <c r="H75" s="274">
        <v>44197</v>
      </c>
      <c r="I75" s="274">
        <v>44561</v>
      </c>
      <c r="J75" s="146">
        <f>'[1]IAFF (1)'!G22</f>
        <v>18</v>
      </c>
      <c r="K75" s="334">
        <v>0</v>
      </c>
      <c r="L75" s="331">
        <v>0</v>
      </c>
      <c r="M75" s="294">
        <f>'[1]IAFF (1)'!K22</f>
        <v>268080</v>
      </c>
      <c r="N75" s="276">
        <f>'[1]IAFF (1)'!L22</f>
        <v>0</v>
      </c>
      <c r="O75" s="332">
        <v>0</v>
      </c>
      <c r="P75" s="278">
        <f t="shared" si="12"/>
        <v>0</v>
      </c>
      <c r="Q75" s="333">
        <f t="shared" si="12"/>
        <v>0</v>
      </c>
      <c r="R75" s="149"/>
      <c r="S75" s="203"/>
      <c r="T75" s="204"/>
      <c r="U75" s="205"/>
      <c r="V75" s="206"/>
    </row>
    <row r="76" spans="1:22" ht="48.75" customHeight="1" x14ac:dyDescent="0.25">
      <c r="A76" s="691"/>
      <c r="B76" s="656" t="s">
        <v>132</v>
      </c>
      <c r="C76" s="657"/>
      <c r="D76" s="658"/>
      <c r="E76" s="198" t="s">
        <v>133</v>
      </c>
      <c r="F76" s="225">
        <v>0</v>
      </c>
      <c r="G76" s="273">
        <v>0</v>
      </c>
      <c r="H76" s="274">
        <v>44197</v>
      </c>
      <c r="I76" s="274">
        <v>44561</v>
      </c>
      <c r="J76" s="146">
        <f>'[1]IAFF (1)'!G23</f>
        <v>12</v>
      </c>
      <c r="K76" s="146">
        <f>'[1]IAFF (1)'!H23</f>
        <v>12</v>
      </c>
      <c r="L76" s="331">
        <f>K76/J76</f>
        <v>1</v>
      </c>
      <c r="M76" s="294">
        <f>'[1]IAFF (1)'!K23</f>
        <v>1350000</v>
      </c>
      <c r="N76" s="276">
        <f>'[1]IAFF (1)'!L23</f>
        <v>807438.92</v>
      </c>
      <c r="O76" s="332">
        <f>N76/M76</f>
        <v>0.59810290370370378</v>
      </c>
      <c r="P76" s="278">
        <f t="shared" si="12"/>
        <v>12</v>
      </c>
      <c r="Q76" s="333">
        <f t="shared" si="12"/>
        <v>1</v>
      </c>
      <c r="R76" s="149">
        <f t="shared" si="11"/>
        <v>807438.92</v>
      </c>
      <c r="S76" s="203">
        <f t="shared" si="11"/>
        <v>0.59810290370370378</v>
      </c>
      <c r="T76" s="204"/>
      <c r="U76" s="205"/>
      <c r="V76" s="206"/>
    </row>
    <row r="77" spans="1:22" ht="50.25" customHeight="1" x14ac:dyDescent="0.25">
      <c r="A77" s="690"/>
      <c r="B77" s="656" t="s">
        <v>134</v>
      </c>
      <c r="C77" s="657"/>
      <c r="D77" s="658"/>
      <c r="E77" s="198" t="s">
        <v>133</v>
      </c>
      <c r="F77" s="225">
        <v>0</v>
      </c>
      <c r="G77" s="273">
        <v>0</v>
      </c>
      <c r="H77" s="274">
        <v>44197</v>
      </c>
      <c r="I77" s="274">
        <v>44561</v>
      </c>
      <c r="J77" s="146">
        <f>'[1]IAFF (1)'!G24</f>
        <v>538</v>
      </c>
      <c r="K77" s="335">
        <f>'[1]IAFF (1)'!H24</f>
        <v>538</v>
      </c>
      <c r="L77" s="331">
        <f>K77/J77</f>
        <v>1</v>
      </c>
      <c r="M77" s="294">
        <f>'[1]IAFF (1)'!K24</f>
        <v>45134286</v>
      </c>
      <c r="N77" s="276">
        <f>'[1]IAFF (1)'!L24</f>
        <v>40323767.299999997</v>
      </c>
      <c r="O77" s="332">
        <f>N77/M77</f>
        <v>0.89341764041642302</v>
      </c>
      <c r="P77" s="278">
        <f t="shared" si="12"/>
        <v>538</v>
      </c>
      <c r="Q77" s="333">
        <f t="shared" si="12"/>
        <v>1</v>
      </c>
      <c r="R77" s="149">
        <f t="shared" si="11"/>
        <v>40323767.299999997</v>
      </c>
      <c r="S77" s="203">
        <f t="shared" si="11"/>
        <v>0.89341764041642302</v>
      </c>
      <c r="T77" s="204"/>
      <c r="U77" s="205"/>
      <c r="V77" s="206"/>
    </row>
    <row r="78" spans="1:22" ht="30" customHeight="1" x14ac:dyDescent="0.25">
      <c r="A78" s="281" t="s">
        <v>111</v>
      </c>
      <c r="B78" s="282"/>
      <c r="C78" s="283"/>
      <c r="D78" s="284"/>
      <c r="E78" s="198"/>
      <c r="F78" s="225"/>
      <c r="G78" s="273"/>
      <c r="H78" s="274"/>
      <c r="I78" s="274"/>
      <c r="J78" s="146"/>
      <c r="K78" s="146"/>
      <c r="L78" s="331"/>
      <c r="M78" s="294"/>
      <c r="N78" s="276"/>
      <c r="O78" s="336"/>
      <c r="P78" s="278"/>
      <c r="Q78" s="333"/>
      <c r="R78" s="149"/>
      <c r="S78" s="203"/>
      <c r="T78" s="204"/>
      <c r="U78" s="205"/>
      <c r="V78" s="206"/>
    </row>
    <row r="79" spans="1:22" ht="69.75" customHeight="1" x14ac:dyDescent="0.25">
      <c r="A79" s="689" t="s">
        <v>100</v>
      </c>
      <c r="B79" s="656" t="s">
        <v>135</v>
      </c>
      <c r="C79" s="657"/>
      <c r="D79" s="658"/>
      <c r="E79" s="198" t="s">
        <v>121</v>
      </c>
      <c r="F79" s="285">
        <v>0</v>
      </c>
      <c r="G79" s="286">
        <v>0</v>
      </c>
      <c r="H79" s="274">
        <v>44197</v>
      </c>
      <c r="I79" s="274">
        <v>44561</v>
      </c>
      <c r="J79" s="146">
        <f>'[1]IAFF (1)'!G25</f>
        <v>3331</v>
      </c>
      <c r="K79" s="146">
        <f>'[1]IAFF (1)'!H25</f>
        <v>2754</v>
      </c>
      <c r="L79" s="331">
        <f>K79/J79</f>
        <v>0.82677874512158511</v>
      </c>
      <c r="M79" s="294">
        <f>'[1]IAFF (1)'!K25</f>
        <v>25974679</v>
      </c>
      <c r="N79" s="276">
        <f>'[1]IAFF (1)'!L25</f>
        <v>24179760</v>
      </c>
      <c r="O79" s="332">
        <f>N79/M79</f>
        <v>0.93089735584412803</v>
      </c>
      <c r="P79" s="278">
        <f t="shared" si="12"/>
        <v>2754</v>
      </c>
      <c r="Q79" s="333">
        <f t="shared" si="12"/>
        <v>0.82677874512158511</v>
      </c>
      <c r="R79" s="149">
        <f>N79</f>
        <v>24179760</v>
      </c>
      <c r="S79" s="203">
        <v>0</v>
      </c>
      <c r="T79" s="204"/>
      <c r="U79" s="205"/>
      <c r="V79" s="206"/>
    </row>
    <row r="80" spans="1:22" ht="23.25" customHeight="1" x14ac:dyDescent="0.25">
      <c r="A80" s="691"/>
      <c r="B80" s="337" t="s">
        <v>137</v>
      </c>
      <c r="C80" s="338"/>
      <c r="D80" s="339"/>
      <c r="E80" s="198" t="s">
        <v>102</v>
      </c>
      <c r="F80" s="285">
        <v>0</v>
      </c>
      <c r="G80" s="286">
        <v>0</v>
      </c>
      <c r="H80" s="274">
        <v>44197</v>
      </c>
      <c r="I80" s="274">
        <v>44561</v>
      </c>
      <c r="J80" s="146">
        <f>'[1]IAFF (1)'!G26</f>
        <v>1896</v>
      </c>
      <c r="K80" s="146">
        <f>'[1]IAFF (1)'!H26</f>
        <v>0</v>
      </c>
      <c r="L80" s="331">
        <f>K80/J80</f>
        <v>0</v>
      </c>
      <c r="M80" s="294">
        <f>'[1]IAFF (1)'!K26</f>
        <v>44405951</v>
      </c>
      <c r="N80" s="276">
        <f>'[1]IAFF (1)'!L26</f>
        <v>0</v>
      </c>
      <c r="O80" s="332">
        <f>N80/M80</f>
        <v>0</v>
      </c>
      <c r="P80" s="278">
        <f t="shared" si="12"/>
        <v>0</v>
      </c>
      <c r="Q80" s="333">
        <f t="shared" si="12"/>
        <v>0</v>
      </c>
      <c r="R80" s="149">
        <f>N80</f>
        <v>0</v>
      </c>
      <c r="S80" s="203">
        <v>0</v>
      </c>
      <c r="T80" s="204"/>
      <c r="U80" s="205"/>
      <c r="V80" s="206"/>
    </row>
    <row r="81" spans="1:22" ht="48.75" customHeight="1" x14ac:dyDescent="0.25">
      <c r="A81" s="690"/>
      <c r="B81" s="656" t="s">
        <v>138</v>
      </c>
      <c r="C81" s="657"/>
      <c r="D81" s="658"/>
      <c r="E81" s="198" t="s">
        <v>136</v>
      </c>
      <c r="F81" s="225">
        <v>0</v>
      </c>
      <c r="G81" s="273">
        <v>0</v>
      </c>
      <c r="H81" s="274">
        <v>44197</v>
      </c>
      <c r="I81" s="274">
        <v>44561</v>
      </c>
      <c r="J81" s="146">
        <f>'[1]IAFF (1)'!G27</f>
        <v>477261</v>
      </c>
      <c r="K81" s="146">
        <f>'[1]IAFF (1)'!H27</f>
        <v>477261</v>
      </c>
      <c r="L81" s="331">
        <f>K81/J81</f>
        <v>1</v>
      </c>
      <c r="M81" s="294">
        <f>'[1]IAFF (1)'!K27</f>
        <v>8172139</v>
      </c>
      <c r="N81" s="276">
        <f>'[1]IAFF (1)'!L27</f>
        <v>8172138.1900000004</v>
      </c>
      <c r="O81" s="332">
        <f>N81/M81</f>
        <v>0.99999990088274326</v>
      </c>
      <c r="P81" s="278">
        <f t="shared" si="12"/>
        <v>477261</v>
      </c>
      <c r="Q81" s="333">
        <f t="shared" si="12"/>
        <v>1</v>
      </c>
      <c r="R81" s="149">
        <f>N81</f>
        <v>8172138.1900000004</v>
      </c>
      <c r="S81" s="203">
        <v>0</v>
      </c>
      <c r="T81" s="204"/>
      <c r="U81" s="205"/>
      <c r="V81" s="206"/>
    </row>
    <row r="82" spans="1:22" ht="30" customHeight="1" x14ac:dyDescent="0.25">
      <c r="A82" s="281" t="s">
        <v>115</v>
      </c>
      <c r="B82" s="686"/>
      <c r="C82" s="687"/>
      <c r="D82" s="688"/>
      <c r="E82" s="198"/>
      <c r="F82" s="99"/>
      <c r="G82" s="100"/>
      <c r="H82" s="146"/>
      <c r="I82" s="147"/>
      <c r="J82" s="146"/>
      <c r="K82" s="199"/>
      <c r="L82" s="296"/>
      <c r="M82" s="297"/>
      <c r="N82" s="298"/>
      <c r="O82" s="340"/>
      <c r="P82" s="278"/>
      <c r="Q82" s="317"/>
      <c r="R82" s="149"/>
      <c r="S82" s="203"/>
      <c r="T82" s="204"/>
      <c r="U82" s="205"/>
      <c r="V82" s="206"/>
    </row>
    <row r="83" spans="1:22" ht="70.5" customHeight="1" thickBot="1" x14ac:dyDescent="0.3">
      <c r="A83" s="689" t="s">
        <v>94</v>
      </c>
      <c r="B83" s="686" t="s">
        <v>95</v>
      </c>
      <c r="C83" s="687"/>
      <c r="D83" s="688"/>
      <c r="E83" s="198" t="s">
        <v>126</v>
      </c>
      <c r="F83" s="99" t="s">
        <v>96</v>
      </c>
      <c r="G83" s="286" t="s">
        <v>96</v>
      </c>
      <c r="H83" s="274">
        <v>44197</v>
      </c>
      <c r="I83" s="274">
        <v>44561</v>
      </c>
      <c r="J83" s="278" t="s">
        <v>96</v>
      </c>
      <c r="K83" s="287" t="s">
        <v>139</v>
      </c>
      <c r="L83" s="296" t="s">
        <v>96</v>
      </c>
      <c r="M83" s="341">
        <f>'[1]IAFF (1)'!K28</f>
        <v>12517326</v>
      </c>
      <c r="N83" s="342">
        <f>'[1]IAFF (1)'!L28</f>
        <v>2970264.76</v>
      </c>
      <c r="O83" s="343">
        <f>N83/M83</f>
        <v>0.23729227472385075</v>
      </c>
      <c r="P83" s="344" t="s">
        <v>96</v>
      </c>
      <c r="Q83" s="345" t="s">
        <v>96</v>
      </c>
      <c r="R83" s="149">
        <f>N83</f>
        <v>2970264.76</v>
      </c>
      <c r="S83" s="203">
        <f>O83</f>
        <v>0.23729227472385075</v>
      </c>
      <c r="T83" s="204"/>
      <c r="U83" s="205"/>
      <c r="V83" s="206"/>
    </row>
    <row r="84" spans="1:22" ht="24" customHeight="1" thickBot="1" x14ac:dyDescent="0.3">
      <c r="A84" s="690"/>
      <c r="B84" s="346" t="s">
        <v>117</v>
      </c>
      <c r="C84" s="347"/>
      <c r="D84" s="348"/>
      <c r="E84" s="198" t="s">
        <v>126</v>
      </c>
      <c r="F84" s="99" t="s">
        <v>96</v>
      </c>
      <c r="G84" s="286" t="s">
        <v>96</v>
      </c>
      <c r="H84" s="274">
        <v>44197</v>
      </c>
      <c r="I84" s="274">
        <v>44561</v>
      </c>
      <c r="J84" s="278" t="s">
        <v>96</v>
      </c>
      <c r="K84" s="287" t="s">
        <v>139</v>
      </c>
      <c r="L84" s="296" t="s">
        <v>96</v>
      </c>
      <c r="M84" s="349">
        <f>'[1]IAFF (1)'!K29</f>
        <v>977300</v>
      </c>
      <c r="N84" s="350">
        <f>'[1]IAFF (1)'!L29</f>
        <v>503376.25</v>
      </c>
      <c r="O84" s="343">
        <f>N84/M84</f>
        <v>0.51506830041952323</v>
      </c>
      <c r="P84" s="344" t="s">
        <v>96</v>
      </c>
      <c r="Q84" s="345" t="s">
        <v>96</v>
      </c>
      <c r="R84" s="149">
        <f>N84</f>
        <v>503376.25</v>
      </c>
      <c r="S84" s="203">
        <f>O84</f>
        <v>0.51506830041952323</v>
      </c>
      <c r="T84" s="351"/>
      <c r="U84" s="352"/>
      <c r="V84" s="353"/>
    </row>
    <row r="85" spans="1:22" ht="29.25" thickBot="1" x14ac:dyDescent="0.5">
      <c r="A85" s="303"/>
      <c r="B85" s="692"/>
      <c r="C85" s="693"/>
      <c r="D85" s="694"/>
      <c r="E85" s="113"/>
      <c r="F85" s="101"/>
      <c r="G85" s="100"/>
      <c r="H85" s="152"/>
      <c r="I85" s="153"/>
      <c r="J85" s="95"/>
      <c r="K85" s="91"/>
      <c r="L85" s="305"/>
      <c r="M85" s="354"/>
      <c r="N85" s="355"/>
      <c r="O85" s="356"/>
      <c r="P85" s="357"/>
      <c r="Q85" s="358"/>
      <c r="R85" s="155"/>
      <c r="S85" s="309"/>
      <c r="T85" s="162"/>
      <c r="U85" s="163"/>
      <c r="V85" s="164"/>
    </row>
    <row r="86" spans="1:22" ht="21.75" thickBot="1" x14ac:dyDescent="0.4">
      <c r="A86" s="310"/>
      <c r="B86" s="311"/>
      <c r="C86" s="311"/>
      <c r="D86" s="311"/>
      <c r="E86" s="311"/>
      <c r="F86" s="311"/>
      <c r="G86" s="313">
        <f>SUM(G72:G83)</f>
        <v>0</v>
      </c>
      <c r="H86" s="311"/>
      <c r="I86" s="311"/>
      <c r="J86" s="311">
        <f>SUM(J72:J85)</f>
        <v>483305</v>
      </c>
      <c r="K86" s="311">
        <f>SUM(K72:K85)</f>
        <v>480634</v>
      </c>
      <c r="L86" s="312">
        <f>K86/J86</f>
        <v>0.99447346913439749</v>
      </c>
      <c r="M86" s="313">
        <f>SUM(M72:M85)</f>
        <v>184925304</v>
      </c>
      <c r="N86" s="313">
        <f>SUM(N72:N85)</f>
        <v>91007045.420000002</v>
      </c>
      <c r="O86" s="359">
        <f>N86/M86</f>
        <v>0.49212867818240819</v>
      </c>
      <c r="P86" s="322">
        <f>SUM(P72:P83)</f>
        <v>480634</v>
      </c>
      <c r="Q86" s="312">
        <f>P86/J86</f>
        <v>0.99447346913439749</v>
      </c>
      <c r="R86" s="324">
        <f>SUM(R72:R85)</f>
        <v>91007045.420000002</v>
      </c>
      <c r="S86" s="312">
        <f>R86/M86</f>
        <v>0.49212867818240819</v>
      </c>
      <c r="T86" s="315"/>
      <c r="U86" s="315"/>
      <c r="V86" s="316"/>
    </row>
    <row r="87" spans="1:22" ht="21" x14ac:dyDescent="0.35">
      <c r="A87" s="360"/>
      <c r="B87" s="165"/>
      <c r="C87" s="165"/>
      <c r="D87" s="165"/>
      <c r="E87" s="165"/>
      <c r="F87" s="165"/>
      <c r="G87" s="165"/>
      <c r="H87" s="165"/>
      <c r="I87" s="165"/>
      <c r="J87" s="165"/>
      <c r="K87" s="165"/>
      <c r="L87" s="361"/>
      <c r="M87" s="165"/>
      <c r="N87" s="165"/>
      <c r="O87" s="165"/>
      <c r="P87" s="165"/>
      <c r="Q87" s="165"/>
      <c r="R87" s="165"/>
      <c r="S87" s="361"/>
      <c r="T87" s="165"/>
      <c r="U87" s="165"/>
      <c r="V87" s="165"/>
    </row>
    <row r="88" spans="1:22" ht="34.5" thickBot="1" x14ac:dyDescent="0.55000000000000004">
      <c r="A88" s="195" t="s">
        <v>39</v>
      </c>
      <c r="B88" s="597">
        <v>2022</v>
      </c>
      <c r="C88" s="598"/>
      <c r="D88" s="598"/>
      <c r="E88" s="598"/>
      <c r="F88" s="598"/>
      <c r="G88" s="598"/>
      <c r="H88" s="598"/>
      <c r="I88" s="598"/>
      <c r="J88" s="598"/>
      <c r="K88" s="598"/>
      <c r="L88" s="598"/>
      <c r="M88" s="598"/>
      <c r="N88" s="598"/>
      <c r="O88" s="598"/>
      <c r="P88" s="598"/>
      <c r="Q88" s="598"/>
      <c r="R88" s="598"/>
      <c r="S88" s="598"/>
      <c r="T88" s="599"/>
      <c r="U88" s="600"/>
      <c r="V88" s="88"/>
    </row>
    <row r="89" spans="1:22" ht="34.5" thickBot="1" x14ac:dyDescent="0.3">
      <c r="A89" s="601" t="s">
        <v>42</v>
      </c>
      <c r="B89" s="604" t="s">
        <v>43</v>
      </c>
      <c r="C89" s="605"/>
      <c r="D89" s="606"/>
      <c r="E89" s="606" t="s">
        <v>44</v>
      </c>
      <c r="F89" s="613" t="s">
        <v>64</v>
      </c>
      <c r="G89" s="614"/>
      <c r="H89" s="615" t="s">
        <v>80</v>
      </c>
      <c r="I89" s="616"/>
      <c r="J89" s="617" t="s">
        <v>81</v>
      </c>
      <c r="K89" s="618"/>
      <c r="L89" s="619"/>
      <c r="M89" s="620" t="s">
        <v>82</v>
      </c>
      <c r="N89" s="621"/>
      <c r="O89" s="622"/>
      <c r="P89" s="623" t="s">
        <v>83</v>
      </c>
      <c r="Q89" s="624"/>
      <c r="R89" s="625" t="s">
        <v>84</v>
      </c>
      <c r="S89" s="626"/>
      <c r="T89" s="627" t="s">
        <v>85</v>
      </c>
      <c r="U89" s="628"/>
      <c r="V89" s="629"/>
    </row>
    <row r="90" spans="1:22" x14ac:dyDescent="0.25">
      <c r="A90" s="602"/>
      <c r="B90" s="607"/>
      <c r="C90" s="608"/>
      <c r="D90" s="609"/>
      <c r="E90" s="609"/>
      <c r="F90" s="636" t="s">
        <v>49</v>
      </c>
      <c r="G90" s="670" t="s">
        <v>48</v>
      </c>
      <c r="H90" s="672" t="s">
        <v>75</v>
      </c>
      <c r="I90" s="674" t="s">
        <v>76</v>
      </c>
      <c r="J90" s="676" t="s">
        <v>50</v>
      </c>
      <c r="K90" s="659" t="s">
        <v>38</v>
      </c>
      <c r="L90" s="678" t="s">
        <v>37</v>
      </c>
      <c r="M90" s="659" t="s">
        <v>50</v>
      </c>
      <c r="N90" s="659" t="s">
        <v>38</v>
      </c>
      <c r="O90" s="662" t="s">
        <v>37</v>
      </c>
      <c r="P90" s="664" t="s">
        <v>77</v>
      </c>
      <c r="Q90" s="666" t="s">
        <v>78</v>
      </c>
      <c r="R90" s="668" t="s">
        <v>79</v>
      </c>
      <c r="S90" s="651" t="s">
        <v>78</v>
      </c>
      <c r="T90" s="630"/>
      <c r="U90" s="631"/>
      <c r="V90" s="632"/>
    </row>
    <row r="91" spans="1:22" ht="45.75" customHeight="1" thickBot="1" x14ac:dyDescent="0.3">
      <c r="A91" s="603"/>
      <c r="B91" s="610"/>
      <c r="C91" s="611"/>
      <c r="D91" s="612"/>
      <c r="E91" s="612"/>
      <c r="F91" s="637"/>
      <c r="G91" s="671"/>
      <c r="H91" s="673"/>
      <c r="I91" s="675"/>
      <c r="J91" s="677"/>
      <c r="K91" s="661"/>
      <c r="L91" s="679"/>
      <c r="M91" s="660"/>
      <c r="N91" s="661"/>
      <c r="O91" s="663"/>
      <c r="P91" s="665"/>
      <c r="Q91" s="667"/>
      <c r="R91" s="669"/>
      <c r="S91" s="652"/>
      <c r="T91" s="633"/>
      <c r="U91" s="634"/>
      <c r="V91" s="635"/>
    </row>
    <row r="92" spans="1:22" ht="28.5" x14ac:dyDescent="0.25">
      <c r="A92" s="380" t="s">
        <v>104</v>
      </c>
      <c r="B92" s="697"/>
      <c r="C92" s="698"/>
      <c r="D92" s="699"/>
      <c r="E92" s="381"/>
      <c r="F92" s="382"/>
      <c r="G92" s="84"/>
      <c r="H92" s="84"/>
      <c r="I92" s="374"/>
      <c r="J92" s="377"/>
      <c r="K92" s="375"/>
      <c r="L92" s="325"/>
      <c r="M92" s="326"/>
      <c r="N92" s="327"/>
      <c r="O92" s="328"/>
      <c r="P92" s="329"/>
      <c r="Q92" s="330"/>
      <c r="R92" s="393"/>
      <c r="S92" s="395"/>
      <c r="T92" s="269"/>
      <c r="U92" s="270"/>
      <c r="V92" s="271"/>
    </row>
    <row r="93" spans="1:22" ht="51" customHeight="1" x14ac:dyDescent="0.25">
      <c r="A93" s="689" t="s">
        <v>92</v>
      </c>
      <c r="B93" s="700" t="s">
        <v>98</v>
      </c>
      <c r="C93" s="700"/>
      <c r="D93" s="701"/>
      <c r="E93" s="404" t="s">
        <v>141</v>
      </c>
      <c r="F93" s="99">
        <f>'IAFF (1)'!K38</f>
        <v>1478</v>
      </c>
      <c r="G93" s="273">
        <f>'IAFF (1)'!K19</f>
        <v>123690099</v>
      </c>
      <c r="H93" s="274">
        <v>44562</v>
      </c>
      <c r="I93" s="319">
        <v>44926</v>
      </c>
      <c r="J93" s="436">
        <f>'IAFF (1)'!G19</f>
        <v>1478</v>
      </c>
      <c r="K93" s="334">
        <v>0</v>
      </c>
      <c r="L93" s="331">
        <f>K93/J93</f>
        <v>0</v>
      </c>
      <c r="M93" s="273">
        <f>G93</f>
        <v>123690099</v>
      </c>
      <c r="N93" s="276">
        <f>'IAFF (1)'!L19</f>
        <v>1135722.56</v>
      </c>
      <c r="O93" s="332">
        <f>N93/M93</f>
        <v>9.1820005738697009E-3</v>
      </c>
      <c r="P93" s="278">
        <f>K93</f>
        <v>0</v>
      </c>
      <c r="Q93" s="333">
        <f>L93</f>
        <v>0</v>
      </c>
      <c r="R93" s="149">
        <f t="shared" ref="R93:R97" si="13">N93</f>
        <v>1135722.56</v>
      </c>
      <c r="S93" s="203">
        <f t="shared" ref="S93:S97" si="14">O93</f>
        <v>9.1820005738697009E-3</v>
      </c>
      <c r="T93" s="204"/>
      <c r="U93" s="205"/>
      <c r="V93" s="206"/>
    </row>
    <row r="94" spans="1:22" ht="36" customHeight="1" x14ac:dyDescent="0.25">
      <c r="A94" s="691"/>
      <c r="B94" s="702" t="s">
        <v>181</v>
      </c>
      <c r="C94" s="702"/>
      <c r="D94" s="703"/>
      <c r="E94" s="99" t="s">
        <v>97</v>
      </c>
      <c r="F94" s="99">
        <f>'IAFF (1)'!K39</f>
        <v>377</v>
      </c>
      <c r="G94" s="273">
        <f>'IAFF (1)'!K20</f>
        <v>97282426</v>
      </c>
      <c r="H94" s="274">
        <v>44562</v>
      </c>
      <c r="I94" s="319">
        <v>44926</v>
      </c>
      <c r="J94" s="436">
        <f>'IAFF (1)'!G20</f>
        <v>377</v>
      </c>
      <c r="K94" s="334">
        <f>'IAFF (1)'!H20</f>
        <v>114</v>
      </c>
      <c r="L94" s="331">
        <f>K94/J94</f>
        <v>0.30238726790450926</v>
      </c>
      <c r="M94" s="273">
        <f>G94</f>
        <v>97282426</v>
      </c>
      <c r="N94" s="276">
        <f>'IAFF (1)'!L20</f>
        <v>29191498.25</v>
      </c>
      <c r="O94" s="332">
        <f>N94/M94</f>
        <v>0.30006959581785103</v>
      </c>
      <c r="P94" s="278">
        <f t="shared" ref="P94:P97" si="15">K94</f>
        <v>114</v>
      </c>
      <c r="Q94" s="333">
        <f t="shared" ref="Q94:Q97" si="16">L94</f>
        <v>0.30238726790450926</v>
      </c>
      <c r="R94" s="149">
        <f t="shared" si="13"/>
        <v>29191498.25</v>
      </c>
      <c r="S94" s="203">
        <f t="shared" si="14"/>
        <v>0.30006959581785103</v>
      </c>
      <c r="T94" s="204"/>
      <c r="U94" s="205"/>
      <c r="V94" s="206"/>
    </row>
    <row r="95" spans="1:22" ht="36" customHeight="1" x14ac:dyDescent="0.25">
      <c r="A95" s="691"/>
      <c r="B95" s="703" t="s">
        <v>144</v>
      </c>
      <c r="C95" s="704"/>
      <c r="D95" s="704"/>
      <c r="E95" s="99" t="str">
        <f>'IAFF (1)'!E21</f>
        <v>Unidad</v>
      </c>
      <c r="F95" s="99">
        <f>'IAFF (1)'!K40</f>
        <v>1</v>
      </c>
      <c r="G95" s="273">
        <f>'IAFF (1)'!K21</f>
        <v>15086227</v>
      </c>
      <c r="H95" s="274">
        <v>44562</v>
      </c>
      <c r="I95" s="319">
        <v>44926</v>
      </c>
      <c r="J95" s="436">
        <f>'IAFF (1)'!G21</f>
        <v>1</v>
      </c>
      <c r="K95" s="334">
        <f>'[1]IAFF (1)'!H58</f>
        <v>0</v>
      </c>
      <c r="L95" s="331">
        <v>0</v>
      </c>
      <c r="M95" s="273">
        <f>G95</f>
        <v>15086227</v>
      </c>
      <c r="N95" s="276">
        <f>'IAFF (1)'!L21</f>
        <v>0</v>
      </c>
      <c r="O95" s="332">
        <v>0</v>
      </c>
      <c r="P95" s="278">
        <f t="shared" si="15"/>
        <v>0</v>
      </c>
      <c r="Q95" s="333">
        <f t="shared" si="16"/>
        <v>0</v>
      </c>
      <c r="R95" s="149">
        <f t="shared" si="13"/>
        <v>0</v>
      </c>
      <c r="S95" s="203">
        <f t="shared" si="14"/>
        <v>0</v>
      </c>
      <c r="T95" s="204"/>
      <c r="U95" s="205"/>
      <c r="V95" s="206"/>
    </row>
    <row r="96" spans="1:22" ht="36" customHeight="1" x14ac:dyDescent="0.25">
      <c r="A96" s="691"/>
      <c r="B96" s="701" t="str">
        <f>'IAFF (1)'!B22:D22</f>
        <v>Consultores formadores comunitarios en gestión escolar en el nivel preprimario</v>
      </c>
      <c r="C96" s="705"/>
      <c r="D96" s="705"/>
      <c r="E96" s="99" t="s">
        <v>93</v>
      </c>
      <c r="F96" s="99">
        <f>'IAFF (1)'!K41</f>
        <v>319</v>
      </c>
      <c r="G96" s="273">
        <f>'IAFF (1)'!K22</f>
        <v>12357941</v>
      </c>
      <c r="H96" s="274"/>
      <c r="I96" s="319"/>
      <c r="J96" s="436">
        <f>'IAFF (1)'!G22</f>
        <v>319</v>
      </c>
      <c r="K96" s="334"/>
      <c r="L96" s="331"/>
      <c r="M96" s="273">
        <f>G96</f>
        <v>12357941</v>
      </c>
      <c r="N96" s="276">
        <f>'IAFF (1)'!L22</f>
        <v>0</v>
      </c>
      <c r="O96" s="332"/>
      <c r="P96" s="278"/>
      <c r="Q96" s="333"/>
      <c r="R96" s="149"/>
      <c r="S96" s="203">
        <f t="shared" si="14"/>
        <v>0</v>
      </c>
      <c r="T96" s="204"/>
      <c r="U96" s="205"/>
      <c r="V96" s="206"/>
    </row>
    <row r="97" spans="1:22" ht="36" customHeight="1" x14ac:dyDescent="0.25">
      <c r="A97" s="691"/>
      <c r="B97" s="701" t="s">
        <v>101</v>
      </c>
      <c r="C97" s="705"/>
      <c r="D97" s="705"/>
      <c r="E97" s="99" t="str">
        <f>'IAFF (1)'!E23</f>
        <v>Equipo</v>
      </c>
      <c r="F97" s="225">
        <f>'IAFF (1)'!K42</f>
        <v>377</v>
      </c>
      <c r="G97" s="273">
        <f>'IAFF (1)'!K23</f>
        <v>9614666</v>
      </c>
      <c r="H97" s="274">
        <v>44562</v>
      </c>
      <c r="I97" s="319">
        <v>44926</v>
      </c>
      <c r="J97" s="436">
        <f>'IAFF (1)'!G23</f>
        <v>377</v>
      </c>
      <c r="K97" s="334">
        <v>0</v>
      </c>
      <c r="L97" s="331">
        <v>0</v>
      </c>
      <c r="M97" s="273">
        <f>G97</f>
        <v>9614666</v>
      </c>
      <c r="N97" s="276">
        <f>'IAFF (1)'!L23</f>
        <v>0</v>
      </c>
      <c r="O97" s="332">
        <v>0</v>
      </c>
      <c r="P97" s="278">
        <f t="shared" si="15"/>
        <v>0</v>
      </c>
      <c r="Q97" s="333">
        <f t="shared" si="16"/>
        <v>0</v>
      </c>
      <c r="R97" s="149">
        <f t="shared" si="13"/>
        <v>0</v>
      </c>
      <c r="S97" s="203">
        <f t="shared" si="14"/>
        <v>0</v>
      </c>
      <c r="T97" s="204"/>
      <c r="U97" s="205"/>
      <c r="V97" s="206"/>
    </row>
    <row r="98" spans="1:22" s="402" customFormat="1" ht="36" hidden="1" customHeight="1" x14ac:dyDescent="0.25">
      <c r="A98" s="398"/>
      <c r="B98" s="706"/>
      <c r="C98" s="707"/>
      <c r="D98" s="707"/>
      <c r="E98" s="387"/>
      <c r="F98" s="379"/>
      <c r="G98" s="386"/>
      <c r="H98" s="274"/>
      <c r="I98" s="319"/>
      <c r="J98" s="437"/>
      <c r="K98" s="334"/>
      <c r="L98" s="331"/>
      <c r="M98" s="386"/>
      <c r="N98" s="390"/>
      <c r="O98" s="317"/>
      <c r="P98" s="278"/>
      <c r="Q98" s="333"/>
      <c r="R98" s="392"/>
      <c r="S98" s="394"/>
      <c r="T98" s="399"/>
      <c r="U98" s="400"/>
      <c r="V98" s="401"/>
    </row>
    <row r="99" spans="1:22" s="402" customFormat="1" ht="36" hidden="1" customHeight="1" x14ac:dyDescent="0.25">
      <c r="A99" s="403"/>
      <c r="B99" s="706"/>
      <c r="C99" s="707"/>
      <c r="D99" s="707"/>
      <c r="E99" s="387"/>
      <c r="F99" s="379"/>
      <c r="G99" s="386"/>
      <c r="H99" s="274"/>
      <c r="I99" s="319"/>
      <c r="J99" s="437"/>
      <c r="K99" s="376"/>
      <c r="L99" s="331"/>
      <c r="M99" s="386"/>
      <c r="N99" s="390"/>
      <c r="O99" s="317"/>
      <c r="P99" s="278"/>
      <c r="Q99" s="333"/>
      <c r="R99" s="392"/>
      <c r="S99" s="394"/>
      <c r="T99" s="399"/>
      <c r="U99" s="400"/>
      <c r="V99" s="401"/>
    </row>
    <row r="100" spans="1:22" ht="23.25" x14ac:dyDescent="0.25">
      <c r="A100" s="383" t="s">
        <v>111</v>
      </c>
      <c r="B100" s="384"/>
      <c r="C100" s="385"/>
      <c r="D100" s="385"/>
      <c r="E100" s="387"/>
      <c r="F100" s="379"/>
      <c r="G100" s="386"/>
      <c r="H100" s="274"/>
      <c r="I100" s="319"/>
      <c r="J100" s="437"/>
      <c r="K100" s="334"/>
      <c r="L100" s="331"/>
      <c r="M100" s="386"/>
      <c r="N100" s="390"/>
      <c r="O100" s="397"/>
      <c r="P100" s="278"/>
      <c r="Q100" s="333"/>
      <c r="R100" s="392"/>
      <c r="S100" s="394"/>
      <c r="T100" s="204"/>
      <c r="U100" s="205"/>
      <c r="V100" s="206"/>
    </row>
    <row r="101" spans="1:22" ht="21" customHeight="1" x14ac:dyDescent="0.25">
      <c r="A101" s="689" t="s">
        <v>100</v>
      </c>
      <c r="B101" s="703" t="s">
        <v>99</v>
      </c>
      <c r="C101" s="704"/>
      <c r="D101" s="721"/>
      <c r="E101" s="378" t="s">
        <v>102</v>
      </c>
      <c r="F101" s="378">
        <f>'IAFF (1)'!K45</f>
        <v>1896</v>
      </c>
      <c r="G101" s="286">
        <f>'IAFF (1)'!K25</f>
        <v>129045185</v>
      </c>
      <c r="H101" s="274">
        <v>44562</v>
      </c>
      <c r="I101" s="319">
        <v>44926</v>
      </c>
      <c r="J101" s="436">
        <f>'IAFF (1)'!G25</f>
        <v>1896</v>
      </c>
      <c r="K101" s="334">
        <f>447+588</f>
        <v>1035</v>
      </c>
      <c r="L101" s="331">
        <f>K101/J101</f>
        <v>0.54588607594936711</v>
      </c>
      <c r="M101" s="286">
        <f>G101</f>
        <v>129045185</v>
      </c>
      <c r="N101" s="276">
        <f>'IAFF (1)'!L25</f>
        <v>74625125</v>
      </c>
      <c r="O101" s="332">
        <f>N101/M101</f>
        <v>0.57828678381142229</v>
      </c>
      <c r="P101" s="278">
        <f t="shared" ref="P101:P103" si="17">K101</f>
        <v>1035</v>
      </c>
      <c r="Q101" s="333">
        <f t="shared" ref="Q101:Q103" si="18">L101</f>
        <v>0.54588607594936711</v>
      </c>
      <c r="R101" s="149">
        <f t="shared" ref="R101:S105" si="19">N101</f>
        <v>74625125</v>
      </c>
      <c r="S101" s="203">
        <f t="shared" si="19"/>
        <v>0.57828678381142229</v>
      </c>
      <c r="T101" s="204"/>
      <c r="U101" s="205"/>
      <c r="V101" s="206"/>
    </row>
    <row r="102" spans="1:22" ht="21" customHeight="1" x14ac:dyDescent="0.25">
      <c r="A102" s="691"/>
      <c r="B102" s="417" t="s">
        <v>147</v>
      </c>
      <c r="C102" s="418"/>
      <c r="D102" s="419"/>
      <c r="E102" s="378" t="s">
        <v>96</v>
      </c>
      <c r="F102" s="378">
        <f>'IAFF (1)'!K46</f>
        <v>1</v>
      </c>
      <c r="G102" s="286">
        <f>'IAFF (1)'!K26</f>
        <v>1705887</v>
      </c>
      <c r="H102" s="274"/>
      <c r="I102" s="319"/>
      <c r="J102" s="436">
        <f>'IAFF (1)'!G26</f>
        <v>1</v>
      </c>
      <c r="K102" s="334"/>
      <c r="L102" s="331"/>
      <c r="M102" s="286">
        <f>G102</f>
        <v>1705887</v>
      </c>
      <c r="N102" s="276">
        <f>'IAFF (1)'!L26</f>
        <v>315000</v>
      </c>
      <c r="O102" s="332">
        <f t="shared" ref="O102" si="20">N102/M102</f>
        <v>0.18465466938900407</v>
      </c>
      <c r="P102" s="278"/>
      <c r="Q102" s="333"/>
      <c r="R102" s="149">
        <f t="shared" si="19"/>
        <v>315000</v>
      </c>
      <c r="S102" s="203">
        <f t="shared" si="19"/>
        <v>0.18465466938900407</v>
      </c>
      <c r="T102" s="204"/>
      <c r="U102" s="205"/>
      <c r="V102" s="206"/>
    </row>
    <row r="103" spans="1:22" ht="45" customHeight="1" x14ac:dyDescent="0.25">
      <c r="A103" s="690"/>
      <c r="B103" s="722" t="s">
        <v>140</v>
      </c>
      <c r="C103" s="687"/>
      <c r="D103" s="723"/>
      <c r="E103" s="378" t="s">
        <v>121</v>
      </c>
      <c r="F103" s="378">
        <f>'IAFF (1)'!K47</f>
        <v>2682</v>
      </c>
      <c r="G103" s="273">
        <f>'IAFF (1)'!K27</f>
        <v>27597900</v>
      </c>
      <c r="H103" s="274">
        <v>44562</v>
      </c>
      <c r="I103" s="319">
        <v>44926</v>
      </c>
      <c r="J103" s="436">
        <f>'IAFF (1)'!G27</f>
        <v>2682</v>
      </c>
      <c r="K103" s="334">
        <f>'[1]IAFF (1)'!H63</f>
        <v>0</v>
      </c>
      <c r="L103" s="331">
        <f>K103/J103</f>
        <v>0</v>
      </c>
      <c r="M103" s="273">
        <f>G103</f>
        <v>27597900</v>
      </c>
      <c r="N103" s="276">
        <f>'IAFF (1)'!L27</f>
        <v>9638420</v>
      </c>
      <c r="O103" s="332">
        <f>N103/M103</f>
        <v>0.34924468890748933</v>
      </c>
      <c r="P103" s="278">
        <f t="shared" si="17"/>
        <v>0</v>
      </c>
      <c r="Q103" s="333">
        <f t="shared" si="18"/>
        <v>0</v>
      </c>
      <c r="R103" s="149">
        <f t="shared" si="19"/>
        <v>9638420</v>
      </c>
      <c r="S103" s="203">
        <f t="shared" si="19"/>
        <v>0.34924468890748933</v>
      </c>
      <c r="T103" s="204"/>
      <c r="U103" s="205"/>
      <c r="V103" s="206"/>
    </row>
    <row r="104" spans="1:22" ht="23.25" x14ac:dyDescent="0.25">
      <c r="A104" s="383" t="s">
        <v>115</v>
      </c>
      <c r="B104" s="695"/>
      <c r="C104" s="696"/>
      <c r="D104" s="696"/>
      <c r="E104" s="387"/>
      <c r="F104" s="387"/>
      <c r="G104" s="146"/>
      <c r="H104" s="274"/>
      <c r="I104" s="274"/>
      <c r="J104" s="438"/>
      <c r="K104" s="199"/>
      <c r="L104" s="296"/>
      <c r="M104" s="146"/>
      <c r="N104" s="391"/>
      <c r="O104" s="396"/>
      <c r="P104" s="278"/>
      <c r="Q104" s="317"/>
      <c r="R104" s="392"/>
      <c r="S104" s="394"/>
      <c r="T104" s="204"/>
      <c r="U104" s="205"/>
      <c r="V104" s="206"/>
    </row>
    <row r="105" spans="1:22" ht="56.25" customHeight="1" thickBot="1" x14ac:dyDescent="0.3">
      <c r="A105" s="439" t="s">
        <v>94</v>
      </c>
      <c r="B105" s="686" t="s">
        <v>95</v>
      </c>
      <c r="C105" s="687"/>
      <c r="D105" s="687"/>
      <c r="E105" s="99" t="s">
        <v>96</v>
      </c>
      <c r="F105" s="99" t="s">
        <v>96</v>
      </c>
      <c r="G105" s="286">
        <f>'IAFF (1)'!K29</f>
        <v>6194265</v>
      </c>
      <c r="H105" s="274">
        <v>44562</v>
      </c>
      <c r="I105" s="274">
        <v>44926</v>
      </c>
      <c r="J105" s="210" t="s">
        <v>96</v>
      </c>
      <c r="K105" s="287" t="s">
        <v>139</v>
      </c>
      <c r="L105" s="296" t="s">
        <v>96</v>
      </c>
      <c r="M105" s="286">
        <f>G105</f>
        <v>6194265</v>
      </c>
      <c r="N105" s="342">
        <f>'IAFF (1)'!L29</f>
        <v>3386433.96</v>
      </c>
      <c r="O105" s="343">
        <f>N105/M105</f>
        <v>0.54670472767955525</v>
      </c>
      <c r="P105" s="344" t="s">
        <v>96</v>
      </c>
      <c r="Q105" s="345" t="s">
        <v>96</v>
      </c>
      <c r="R105" s="149">
        <f>N105</f>
        <v>3386433.96</v>
      </c>
      <c r="S105" s="203">
        <f t="shared" si="19"/>
        <v>0.54670472767955525</v>
      </c>
      <c r="T105" s="204"/>
      <c r="U105" s="205"/>
      <c r="V105" s="206"/>
    </row>
    <row r="106" spans="1:22" ht="56.25" customHeight="1" thickBot="1" x14ac:dyDescent="0.3">
      <c r="A106" s="454"/>
      <c r="B106" s="656" t="s">
        <v>190</v>
      </c>
      <c r="C106" s="657"/>
      <c r="D106" s="657"/>
      <c r="E106" s="99" t="s">
        <v>96</v>
      </c>
      <c r="F106" s="99">
        <f>'IAFF (1)'!K49</f>
        <v>1</v>
      </c>
      <c r="G106" s="286">
        <f>'IAFF (1)'!K30</f>
        <v>5679190</v>
      </c>
      <c r="H106" s="274"/>
      <c r="I106" s="274"/>
      <c r="J106" s="210">
        <f>'IAFF (1)'!G30</f>
        <v>1</v>
      </c>
      <c r="K106" s="287"/>
      <c r="L106" s="296"/>
      <c r="M106" s="286">
        <f>G106</f>
        <v>5679190</v>
      </c>
      <c r="N106" s="342">
        <f>'IAFF (1)'!L30</f>
        <v>0</v>
      </c>
      <c r="O106" s="343"/>
      <c r="P106" s="344"/>
      <c r="Q106" s="345"/>
      <c r="R106" s="149"/>
      <c r="S106" s="203"/>
      <c r="T106" s="204"/>
      <c r="U106" s="205"/>
      <c r="V106" s="206"/>
    </row>
    <row r="107" spans="1:22" ht="21.75" thickBot="1" x14ac:dyDescent="0.4">
      <c r="A107" s="310"/>
      <c r="B107" s="311"/>
      <c r="C107" s="311"/>
      <c r="D107" s="311"/>
      <c r="E107" s="311"/>
      <c r="F107" s="175">
        <f>SUM(F93:F106)</f>
        <v>7132</v>
      </c>
      <c r="G107" s="313">
        <f>SUM(G93:G106)</f>
        <v>428253786</v>
      </c>
      <c r="H107" s="311"/>
      <c r="I107" s="311"/>
      <c r="J107" s="455">
        <f>SUM(J93:J106)</f>
        <v>7132</v>
      </c>
      <c r="K107" s="175">
        <f>SUM(K93:K105)</f>
        <v>1149</v>
      </c>
      <c r="L107" s="480">
        <f>K107/J107</f>
        <v>0.16110487941671339</v>
      </c>
      <c r="M107" s="313">
        <f>SUM(M93:M106)</f>
        <v>428253786</v>
      </c>
      <c r="N107" s="313">
        <f>SUM(N93:N105)</f>
        <v>118292199.77</v>
      </c>
      <c r="O107" s="359">
        <f>N107/M107</f>
        <v>0.27621985756361767</v>
      </c>
      <c r="P107" s="322">
        <f>SUM(P93:P105)</f>
        <v>1149</v>
      </c>
      <c r="Q107" s="312">
        <f>P107/J107</f>
        <v>0.16110487941671339</v>
      </c>
      <c r="R107" s="324">
        <f>SUM(R93:R105)</f>
        <v>118292199.77</v>
      </c>
      <c r="S107" s="312">
        <f>R107/M107</f>
        <v>0.27621985756361767</v>
      </c>
      <c r="T107" s="315"/>
      <c r="U107" s="315"/>
      <c r="V107" s="316"/>
    </row>
    <row r="108" spans="1:22" ht="21" x14ac:dyDescent="0.35">
      <c r="A108" s="360"/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361"/>
      <c r="M108" s="165"/>
      <c r="N108" s="165"/>
      <c r="O108" s="165"/>
      <c r="P108" s="165"/>
      <c r="Q108" s="165"/>
      <c r="R108" s="165"/>
      <c r="S108" s="361"/>
      <c r="T108" s="165"/>
      <c r="U108" s="165"/>
      <c r="V108" s="165"/>
    </row>
    <row r="109" spans="1:22" ht="21.75" thickBot="1" x14ac:dyDescent="0.4">
      <c r="A109" s="360"/>
      <c r="B109" s="165"/>
      <c r="C109" s="165"/>
      <c r="D109" s="165"/>
      <c r="E109" s="165"/>
      <c r="F109" s="165"/>
      <c r="G109" s="165"/>
      <c r="H109" s="165"/>
      <c r="I109" s="165"/>
      <c r="J109" s="165"/>
      <c r="K109" s="165"/>
      <c r="L109" s="361"/>
      <c r="M109" s="165"/>
      <c r="N109" s="165"/>
      <c r="O109" s="165"/>
      <c r="P109" s="165"/>
      <c r="Q109" s="165"/>
      <c r="R109" s="165"/>
      <c r="S109" s="361"/>
      <c r="T109" s="165"/>
      <c r="U109" s="165"/>
      <c r="V109" s="165"/>
    </row>
    <row r="110" spans="1:22" ht="36.75" thickBot="1" x14ac:dyDescent="0.6">
      <c r="A110" s="712" t="s">
        <v>65</v>
      </c>
      <c r="B110" s="713"/>
      <c r="C110" s="713"/>
      <c r="D110" s="713"/>
      <c r="E110" s="713"/>
      <c r="F110" s="713"/>
      <c r="G110" s="714"/>
      <c r="I110" s="165"/>
      <c r="J110" s="165"/>
      <c r="K110" s="165"/>
      <c r="L110" s="361"/>
      <c r="M110" s="165"/>
      <c r="N110" s="165"/>
      <c r="O110" s="165"/>
      <c r="P110" s="165"/>
      <c r="Q110" s="165"/>
      <c r="R110" s="165"/>
      <c r="S110" s="361"/>
      <c r="T110" s="165"/>
      <c r="U110" s="165"/>
      <c r="V110" s="165"/>
    </row>
    <row r="111" spans="1:22" ht="70.5" thickBot="1" x14ac:dyDescent="0.4">
      <c r="A111" s="485" t="s">
        <v>66</v>
      </c>
      <c r="B111" s="486" t="s">
        <v>67</v>
      </c>
      <c r="C111" s="486" t="s">
        <v>68</v>
      </c>
      <c r="D111" s="715" t="s">
        <v>69</v>
      </c>
      <c r="E111" s="716"/>
      <c r="F111" s="715" t="s">
        <v>70</v>
      </c>
      <c r="G111" s="716"/>
      <c r="I111" s="165"/>
      <c r="J111" s="165"/>
      <c r="K111" s="165"/>
      <c r="L111" s="361"/>
      <c r="M111" s="165"/>
      <c r="N111" s="165"/>
      <c r="O111" s="165"/>
      <c r="P111" s="165"/>
      <c r="Q111" s="165"/>
      <c r="R111" s="165"/>
      <c r="S111" s="361"/>
      <c r="T111" s="165"/>
      <c r="U111" s="165"/>
      <c r="V111" s="165"/>
    </row>
    <row r="112" spans="1:22" ht="23.25" x14ac:dyDescent="0.35">
      <c r="A112" s="487">
        <v>2018</v>
      </c>
      <c r="B112" s="488">
        <f>Q65</f>
        <v>0</v>
      </c>
      <c r="C112" s="489">
        <f>S65</f>
        <v>0</v>
      </c>
      <c r="D112" s="717">
        <v>0</v>
      </c>
      <c r="E112" s="718"/>
      <c r="F112" s="719">
        <v>0</v>
      </c>
      <c r="G112" s="720"/>
      <c r="I112" s="165"/>
      <c r="J112" s="165"/>
      <c r="K112" s="165"/>
      <c r="L112" s="361"/>
      <c r="M112" s="165"/>
      <c r="N112" s="165"/>
      <c r="O112" s="165"/>
      <c r="P112" s="165"/>
      <c r="Q112" s="165"/>
      <c r="R112" s="165"/>
      <c r="S112" s="361"/>
      <c r="T112" s="165"/>
      <c r="U112" s="165"/>
      <c r="V112" s="165"/>
    </row>
    <row r="113" spans="1:22" ht="23.25" x14ac:dyDescent="0.35">
      <c r="A113" s="490">
        <v>2019</v>
      </c>
      <c r="B113" s="491">
        <f>L47</f>
        <v>0.99860531300357158</v>
      </c>
      <c r="C113" s="491">
        <f>O48</f>
        <v>0.17835146315347628</v>
      </c>
      <c r="D113" s="708">
        <f>O84</f>
        <v>0.51506830041952323</v>
      </c>
      <c r="E113" s="709"/>
      <c r="F113" s="710">
        <f>N48</f>
        <v>41661646.019999996</v>
      </c>
      <c r="G113" s="711"/>
      <c r="I113" s="165"/>
      <c r="J113" s="165"/>
      <c r="K113" s="165"/>
      <c r="L113" s="361"/>
      <c r="M113" s="165"/>
      <c r="N113" s="165"/>
      <c r="O113" s="165"/>
      <c r="P113" s="165"/>
      <c r="Q113" s="165"/>
      <c r="R113" s="165"/>
      <c r="S113" s="361"/>
      <c r="T113" s="165"/>
      <c r="U113" s="165"/>
      <c r="V113" s="165"/>
    </row>
    <row r="114" spans="1:22" ht="23.25" x14ac:dyDescent="0.35">
      <c r="A114" s="490">
        <v>2020</v>
      </c>
      <c r="B114" s="491">
        <f>L66</f>
        <v>0.81138259833134685</v>
      </c>
      <c r="C114" s="491">
        <f>O66</f>
        <v>0.75121466566000339</v>
      </c>
      <c r="D114" s="708">
        <f>Q66</f>
        <v>0.81138259833134685</v>
      </c>
      <c r="E114" s="709"/>
      <c r="F114" s="710">
        <f>N66</f>
        <v>170163132.81</v>
      </c>
      <c r="G114" s="711"/>
      <c r="I114" s="165"/>
      <c r="J114" s="165"/>
      <c r="K114" s="165"/>
      <c r="L114" s="361"/>
      <c r="M114" s="165"/>
      <c r="N114" s="165"/>
      <c r="O114" s="165"/>
      <c r="P114" s="165"/>
      <c r="Q114" s="165"/>
      <c r="R114" s="165"/>
      <c r="S114" s="361"/>
      <c r="T114" s="165"/>
      <c r="U114" s="165"/>
      <c r="V114" s="165"/>
    </row>
    <row r="115" spans="1:22" ht="23.25" x14ac:dyDescent="0.35">
      <c r="A115" s="490">
        <v>2021</v>
      </c>
      <c r="B115" s="491">
        <f>L86</f>
        <v>0.99447346913439749</v>
      </c>
      <c r="C115" s="491">
        <f>O86</f>
        <v>0.49212867818240819</v>
      </c>
      <c r="D115" s="708">
        <f>Q86</f>
        <v>0.99447346913439749</v>
      </c>
      <c r="E115" s="709"/>
      <c r="F115" s="710">
        <f>N86</f>
        <v>91007045.420000002</v>
      </c>
      <c r="G115" s="711"/>
      <c r="I115" s="165"/>
      <c r="J115" s="165"/>
      <c r="K115" s="165"/>
      <c r="L115" s="361"/>
      <c r="M115" s="165"/>
      <c r="N115" s="165"/>
      <c r="O115" s="165"/>
      <c r="P115" s="165"/>
      <c r="Q115" s="165"/>
      <c r="R115" s="165"/>
      <c r="S115" s="361"/>
      <c r="T115" s="165"/>
      <c r="U115" s="165"/>
      <c r="V115" s="165"/>
    </row>
    <row r="116" spans="1:22" ht="23.25" x14ac:dyDescent="0.35">
      <c r="A116" s="490">
        <v>2022</v>
      </c>
      <c r="B116" s="491">
        <f>L107</f>
        <v>0.16110487941671339</v>
      </c>
      <c r="C116" s="491">
        <f>O107</f>
        <v>0.27621985756361767</v>
      </c>
      <c r="D116" s="708">
        <f>Q107</f>
        <v>0.16110487941671339</v>
      </c>
      <c r="E116" s="709"/>
      <c r="F116" s="710">
        <f>N107</f>
        <v>118292199.77</v>
      </c>
      <c r="G116" s="711"/>
      <c r="I116" s="165"/>
      <c r="J116" s="165"/>
      <c r="K116" s="165"/>
      <c r="L116" s="361"/>
      <c r="M116" s="165"/>
      <c r="N116" s="165"/>
      <c r="O116" s="165"/>
      <c r="P116" s="165"/>
      <c r="Q116" s="165"/>
      <c r="R116" s="165"/>
      <c r="S116" s="361"/>
      <c r="T116" s="165"/>
      <c r="U116" s="165"/>
      <c r="V116" s="165"/>
    </row>
    <row r="117" spans="1:22" ht="23.25" x14ac:dyDescent="0.35">
      <c r="A117" s="724" t="s">
        <v>183</v>
      </c>
      <c r="B117" s="725"/>
      <c r="C117" s="725"/>
      <c r="D117" s="725"/>
      <c r="E117" s="711"/>
      <c r="F117" s="710">
        <f>SUM(F112:G116)</f>
        <v>421124024.01999998</v>
      </c>
      <c r="G117" s="711"/>
      <c r="I117" s="165"/>
      <c r="J117" s="165"/>
      <c r="K117" s="165"/>
      <c r="L117" s="361"/>
      <c r="M117" s="165"/>
      <c r="N117" s="165"/>
      <c r="O117" s="165"/>
      <c r="P117" s="165"/>
      <c r="Q117" s="165"/>
      <c r="R117" s="165"/>
      <c r="S117" s="361"/>
      <c r="T117" s="165"/>
      <c r="U117" s="165"/>
      <c r="V117" s="165"/>
    </row>
    <row r="118" spans="1:22" ht="21" x14ac:dyDescent="0.35">
      <c r="N118" s="96"/>
      <c r="O118" s="165"/>
      <c r="P118" s="165"/>
      <c r="Q118" s="165"/>
      <c r="R118" s="165"/>
      <c r="S118" s="361"/>
      <c r="T118" s="165"/>
      <c r="U118" s="165"/>
      <c r="V118" s="165"/>
    </row>
    <row r="119" spans="1:22" ht="107.25" customHeight="1" x14ac:dyDescent="0.35">
      <c r="A119" s="364"/>
      <c r="B119" s="21"/>
      <c r="C119" s="21"/>
      <c r="D119" s="21"/>
      <c r="E119" s="22"/>
      <c r="F119" s="1"/>
      <c r="G119" s="1"/>
      <c r="H119" s="1"/>
      <c r="I119" s="495" t="s">
        <v>17</v>
      </c>
      <c r="J119" s="496"/>
      <c r="K119" s="496"/>
      <c r="L119" s="496"/>
      <c r="M119" s="497"/>
      <c r="N119" s="17"/>
      <c r="O119" s="165"/>
      <c r="P119" s="165"/>
      <c r="Q119" s="165"/>
      <c r="R119" s="165"/>
      <c r="S119" s="361"/>
      <c r="T119" s="165"/>
      <c r="U119" s="165"/>
      <c r="V119" s="165"/>
    </row>
    <row r="120" spans="1:22" ht="37.5" customHeight="1" x14ac:dyDescent="0.35">
      <c r="A120" s="498" t="s">
        <v>16</v>
      </c>
      <c r="B120" s="499"/>
      <c r="C120" s="499"/>
      <c r="D120" s="499"/>
      <c r="E120" s="500"/>
      <c r="F120" s="2"/>
      <c r="G120" s="14"/>
      <c r="H120" s="2"/>
      <c r="I120" s="498"/>
      <c r="J120" s="499"/>
      <c r="K120" s="499"/>
      <c r="L120" s="499"/>
      <c r="M120" s="500"/>
      <c r="N120" s="17"/>
      <c r="O120" s="165"/>
      <c r="P120" s="165"/>
      <c r="Q120" s="165"/>
      <c r="R120" s="165"/>
      <c r="S120" s="361"/>
      <c r="T120" s="165"/>
      <c r="U120" s="165"/>
      <c r="V120" s="165"/>
    </row>
    <row r="121" spans="1:22" ht="18.75" x14ac:dyDescent="0.25">
      <c r="A121" s="365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366"/>
      <c r="M121" s="96"/>
      <c r="N121" s="96"/>
    </row>
    <row r="130" spans="10:12" x14ac:dyDescent="0.25">
      <c r="J130" s="484">
        <f>SUM(J47+J66+J86+J107)</f>
        <v>3358952</v>
      </c>
      <c r="K130" s="484">
        <f>K47+K66+K86+K107</f>
        <v>3345669</v>
      </c>
      <c r="L130" s="363">
        <f>K130/J130</f>
        <v>0.99604549276083731</v>
      </c>
    </row>
  </sheetData>
  <mergeCells count="221">
    <mergeCell ref="A93:A97"/>
    <mergeCell ref="D116:E116"/>
    <mergeCell ref="F116:G116"/>
    <mergeCell ref="I119:M120"/>
    <mergeCell ref="A120:E120"/>
    <mergeCell ref="B106:D106"/>
    <mergeCell ref="D113:E113"/>
    <mergeCell ref="F113:G113"/>
    <mergeCell ref="D114:E114"/>
    <mergeCell ref="F114:G114"/>
    <mergeCell ref="D115:E115"/>
    <mergeCell ref="F115:G115"/>
    <mergeCell ref="A110:G110"/>
    <mergeCell ref="D111:E111"/>
    <mergeCell ref="F111:G111"/>
    <mergeCell ref="D112:E112"/>
    <mergeCell ref="F112:G112"/>
    <mergeCell ref="B99:D99"/>
    <mergeCell ref="B101:D101"/>
    <mergeCell ref="B103:D103"/>
    <mergeCell ref="A101:A103"/>
    <mergeCell ref="F117:G117"/>
    <mergeCell ref="A117:E117"/>
    <mergeCell ref="I90:I91"/>
    <mergeCell ref="J90:J91"/>
    <mergeCell ref="B104:D104"/>
    <mergeCell ref="B105:D105"/>
    <mergeCell ref="Q90:Q91"/>
    <mergeCell ref="R90:R91"/>
    <mergeCell ref="S90:S91"/>
    <mergeCell ref="B92:D92"/>
    <mergeCell ref="B93:D93"/>
    <mergeCell ref="B94:D94"/>
    <mergeCell ref="B95:D95"/>
    <mergeCell ref="B97:D97"/>
    <mergeCell ref="B98:D98"/>
    <mergeCell ref="K90:K91"/>
    <mergeCell ref="L90:L91"/>
    <mergeCell ref="M90:M91"/>
    <mergeCell ref="N90:N91"/>
    <mergeCell ref="O90:O91"/>
    <mergeCell ref="P90:P91"/>
    <mergeCell ref="B96:D96"/>
    <mergeCell ref="O69:O70"/>
    <mergeCell ref="P69:P70"/>
    <mergeCell ref="Q69:Q70"/>
    <mergeCell ref="B88:U88"/>
    <mergeCell ref="A89:A91"/>
    <mergeCell ref="B89:D91"/>
    <mergeCell ref="E89:E91"/>
    <mergeCell ref="F89:G89"/>
    <mergeCell ref="H89:I89"/>
    <mergeCell ref="B85:D85"/>
    <mergeCell ref="A79:A81"/>
    <mergeCell ref="B79:D79"/>
    <mergeCell ref="B81:D81"/>
    <mergeCell ref="B82:D82"/>
    <mergeCell ref="A83:A84"/>
    <mergeCell ref="B83:D83"/>
    <mergeCell ref="J89:L89"/>
    <mergeCell ref="M89:O89"/>
    <mergeCell ref="P89:Q89"/>
    <mergeCell ref="R89:S89"/>
    <mergeCell ref="T89:V91"/>
    <mergeCell ref="F90:F91"/>
    <mergeCell ref="G90:G91"/>
    <mergeCell ref="H90:H91"/>
    <mergeCell ref="B71:D71"/>
    <mergeCell ref="A72:A77"/>
    <mergeCell ref="B72:D72"/>
    <mergeCell ref="B73:D73"/>
    <mergeCell ref="B74:D74"/>
    <mergeCell ref="B75:D75"/>
    <mergeCell ref="B76:D76"/>
    <mergeCell ref="B77:D77"/>
    <mergeCell ref="L69:L70"/>
    <mergeCell ref="B63:D63"/>
    <mergeCell ref="B64:D64"/>
    <mergeCell ref="B65:D65"/>
    <mergeCell ref="B67:U67"/>
    <mergeCell ref="A68:A70"/>
    <mergeCell ref="B68:D70"/>
    <mergeCell ref="E68:E70"/>
    <mergeCell ref="F68:G68"/>
    <mergeCell ref="H68:I68"/>
    <mergeCell ref="J68:L68"/>
    <mergeCell ref="M68:O68"/>
    <mergeCell ref="P68:Q68"/>
    <mergeCell ref="R68:S68"/>
    <mergeCell ref="T68:V70"/>
    <mergeCell ref="F69:F70"/>
    <mergeCell ref="G69:G70"/>
    <mergeCell ref="H69:H70"/>
    <mergeCell ref="I69:I70"/>
    <mergeCell ref="J69:J70"/>
    <mergeCell ref="K69:K70"/>
    <mergeCell ref="R69:R70"/>
    <mergeCell ref="S69:S70"/>
    <mergeCell ref="M69:M70"/>
    <mergeCell ref="N69:N70"/>
    <mergeCell ref="B56:D56"/>
    <mergeCell ref="B57:D57"/>
    <mergeCell ref="B58:D58"/>
    <mergeCell ref="B59:D59"/>
    <mergeCell ref="A61:A62"/>
    <mergeCell ref="B61:D61"/>
    <mergeCell ref="B62:D62"/>
    <mergeCell ref="R51:R52"/>
    <mergeCell ref="S51:S52"/>
    <mergeCell ref="B53:D53"/>
    <mergeCell ref="A54:A55"/>
    <mergeCell ref="B54:D54"/>
    <mergeCell ref="B55:D55"/>
    <mergeCell ref="L51:L52"/>
    <mergeCell ref="M51:M52"/>
    <mergeCell ref="N51:N52"/>
    <mergeCell ref="O51:O52"/>
    <mergeCell ref="P51:P52"/>
    <mergeCell ref="Q51:Q52"/>
    <mergeCell ref="B45:D45"/>
    <mergeCell ref="B46:D46"/>
    <mergeCell ref="B47:D47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R50:S50"/>
    <mergeCell ref="T50:V52"/>
    <mergeCell ref="F51:F52"/>
    <mergeCell ref="G51:G52"/>
    <mergeCell ref="H51:H52"/>
    <mergeCell ref="I51:I52"/>
    <mergeCell ref="J51:J52"/>
    <mergeCell ref="K51:K52"/>
    <mergeCell ref="A37:A38"/>
    <mergeCell ref="B37:D37"/>
    <mergeCell ref="B38:D38"/>
    <mergeCell ref="A40:A44"/>
    <mergeCell ref="B40:D40"/>
    <mergeCell ref="B41:D41"/>
    <mergeCell ref="B42:D42"/>
    <mergeCell ref="B43:D43"/>
    <mergeCell ref="B44:D44"/>
    <mergeCell ref="B36:D36"/>
    <mergeCell ref="T33:V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B32:U32"/>
    <mergeCell ref="A33:A35"/>
    <mergeCell ref="B33:D35"/>
    <mergeCell ref="E33:E35"/>
    <mergeCell ref="F33:G33"/>
    <mergeCell ref="H33:I33"/>
    <mergeCell ref="J33:L33"/>
    <mergeCell ref="M33:O33"/>
    <mergeCell ref="P33:Q33"/>
    <mergeCell ref="R33:S33"/>
    <mergeCell ref="O34:O35"/>
    <mergeCell ref="P34:P35"/>
    <mergeCell ref="Q34:Q35"/>
    <mergeCell ref="R34:R35"/>
    <mergeCell ref="S34:S35"/>
    <mergeCell ref="B28:D28"/>
    <mergeCell ref="B29:D29"/>
    <mergeCell ref="A31:V31"/>
    <mergeCell ref="S17:S18"/>
    <mergeCell ref="B19:D19"/>
    <mergeCell ref="B20:D20"/>
    <mergeCell ref="B21:D21"/>
    <mergeCell ref="B22:D22"/>
    <mergeCell ref="B23:D23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B24:D24"/>
    <mergeCell ref="B25:D25"/>
    <mergeCell ref="B26:D26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6" fitToHeight="3" orientation="landscape" r:id="rId1"/>
  <rowBreaks count="2" manualBreakCount="2">
    <brk id="48" max="21" man="1"/>
    <brk id="87" max="21" man="1"/>
  </rowBreaks>
  <ignoredErrors>
    <ignoredError sqref="L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view="pageBreakPreview" zoomScale="80" zoomScaleNormal="75" zoomScaleSheetLayoutView="80" zoomScalePageLayoutView="55" workbookViewId="0">
      <selection activeCell="M23" sqref="M23"/>
    </sheetView>
  </sheetViews>
  <sheetFormatPr baseColWidth="10" defaultRowHeight="18.75" x14ac:dyDescent="0.3"/>
  <cols>
    <col min="1" max="1" width="23.14062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726" t="s">
        <v>87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8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729"/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1"/>
    </row>
    <row r="5" spans="1:17" ht="39.75" thickBot="1" x14ac:dyDescent="0.65">
      <c r="A5" s="732" t="s">
        <v>22</v>
      </c>
      <c r="B5" s="733"/>
      <c r="C5" s="733"/>
      <c r="D5" s="733"/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4"/>
    </row>
    <row r="6" spans="1:17" ht="8.25" customHeight="1" thickBot="1" x14ac:dyDescent="0.4">
      <c r="A6" s="735"/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7"/>
    </row>
    <row r="7" spans="1:17" s="5" customFormat="1" ht="8.25" customHeight="1" thickBot="1" x14ac:dyDescent="0.4">
      <c r="A7" s="127"/>
      <c r="B7" s="127"/>
      <c r="C7" s="127" t="s">
        <v>88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738" t="s">
        <v>1</v>
      </c>
      <c r="B8" s="739"/>
      <c r="C8" s="740">
        <v>2022</v>
      </c>
      <c r="D8" s="741"/>
      <c r="E8" s="742" t="s">
        <v>8</v>
      </c>
      <c r="F8" s="743"/>
      <c r="G8" s="743"/>
      <c r="H8" s="743"/>
      <c r="I8" s="743"/>
      <c r="J8" s="743"/>
      <c r="K8" s="743"/>
      <c r="L8" s="743"/>
      <c r="M8" s="743"/>
      <c r="N8" s="743"/>
      <c r="O8" s="743"/>
      <c r="P8" s="744"/>
      <c r="Q8" s="24"/>
    </row>
    <row r="9" spans="1:17" ht="18.75" customHeight="1" x14ac:dyDescent="0.35">
      <c r="A9" s="128"/>
      <c r="B9" s="129" t="s">
        <v>20</v>
      </c>
      <c r="C9" s="751" t="s">
        <v>191</v>
      </c>
      <c r="D9" s="752"/>
      <c r="E9" s="745"/>
      <c r="F9" s="746"/>
      <c r="G9" s="746"/>
      <c r="H9" s="746"/>
      <c r="I9" s="746"/>
      <c r="J9" s="746"/>
      <c r="K9" s="746"/>
      <c r="L9" s="746"/>
      <c r="M9" s="746"/>
      <c r="N9" s="746"/>
      <c r="O9" s="746"/>
      <c r="P9" s="747"/>
      <c r="Q9" s="24"/>
    </row>
    <row r="10" spans="1:17" ht="23.25" x14ac:dyDescent="0.35">
      <c r="A10" s="753" t="s">
        <v>3</v>
      </c>
      <c r="B10" s="754"/>
      <c r="C10" s="751" t="s">
        <v>103</v>
      </c>
      <c r="D10" s="752"/>
      <c r="E10" s="745"/>
      <c r="F10" s="746"/>
      <c r="G10" s="746"/>
      <c r="H10" s="746"/>
      <c r="I10" s="746"/>
      <c r="J10" s="746"/>
      <c r="K10" s="746"/>
      <c r="L10" s="746"/>
      <c r="M10" s="746"/>
      <c r="N10" s="746"/>
      <c r="O10" s="746"/>
      <c r="P10" s="747"/>
      <c r="Q10" s="24"/>
    </row>
    <row r="11" spans="1:17" ht="23.25" x14ac:dyDescent="0.35">
      <c r="A11" s="753" t="s">
        <v>2</v>
      </c>
      <c r="B11" s="754"/>
      <c r="C11" s="751" t="s">
        <v>89</v>
      </c>
      <c r="D11" s="752"/>
      <c r="E11" s="745"/>
      <c r="F11" s="746"/>
      <c r="G11" s="746"/>
      <c r="H11" s="746"/>
      <c r="I11" s="746"/>
      <c r="J11" s="746"/>
      <c r="K11" s="746"/>
      <c r="L11" s="746"/>
      <c r="M11" s="746"/>
      <c r="N11" s="746"/>
      <c r="O11" s="746"/>
      <c r="P11" s="747"/>
      <c r="Q11" s="24"/>
    </row>
    <row r="12" spans="1:17" s="5" customFormat="1" ht="24.75" customHeight="1" x14ac:dyDescent="0.3">
      <c r="A12" s="755" t="s">
        <v>4</v>
      </c>
      <c r="B12" s="756"/>
      <c r="C12" s="751" t="s">
        <v>90</v>
      </c>
      <c r="D12" s="752"/>
      <c r="E12" s="745"/>
      <c r="F12" s="746"/>
      <c r="G12" s="746"/>
      <c r="H12" s="746"/>
      <c r="I12" s="746"/>
      <c r="J12" s="746"/>
      <c r="K12" s="746"/>
      <c r="L12" s="746"/>
      <c r="M12" s="746"/>
      <c r="N12" s="746"/>
      <c r="O12" s="746"/>
      <c r="P12" s="747"/>
      <c r="Q12" s="24"/>
    </row>
    <row r="13" spans="1:17" s="5" customFormat="1" ht="21" customHeight="1" thickBot="1" x14ac:dyDescent="0.35">
      <c r="A13" s="130"/>
      <c r="B13" s="131" t="s">
        <v>13</v>
      </c>
      <c r="C13" s="751" t="s">
        <v>91</v>
      </c>
      <c r="D13" s="752"/>
      <c r="E13" s="745"/>
      <c r="F13" s="746"/>
      <c r="G13" s="746"/>
      <c r="H13" s="746"/>
      <c r="I13" s="746"/>
      <c r="J13" s="746"/>
      <c r="K13" s="746"/>
      <c r="L13" s="746"/>
      <c r="M13" s="746"/>
      <c r="N13" s="746"/>
      <c r="O13" s="746"/>
      <c r="P13" s="747"/>
      <c r="Q13" s="24"/>
    </row>
    <row r="14" spans="1:17" s="5" customFormat="1" ht="21" customHeight="1" x14ac:dyDescent="0.3">
      <c r="A14" s="115"/>
      <c r="B14" s="115"/>
      <c r="C14" s="82"/>
      <c r="D14" s="9"/>
      <c r="E14" s="745"/>
      <c r="F14" s="746"/>
      <c r="G14" s="746"/>
      <c r="H14" s="746"/>
      <c r="I14" s="746"/>
      <c r="J14" s="746"/>
      <c r="K14" s="746"/>
      <c r="L14" s="746"/>
      <c r="M14" s="746"/>
      <c r="N14" s="746"/>
      <c r="O14" s="746"/>
      <c r="P14" s="747"/>
      <c r="Q14" s="24"/>
    </row>
    <row r="15" spans="1:17" s="5" customFormat="1" ht="58.5" customHeight="1" thickBot="1" x14ac:dyDescent="0.35">
      <c r="A15" s="115"/>
      <c r="B15" s="115"/>
      <c r="C15" s="11"/>
      <c r="D15" s="9"/>
      <c r="E15" s="748"/>
      <c r="F15" s="749"/>
      <c r="G15" s="749"/>
      <c r="H15" s="749"/>
      <c r="I15" s="749"/>
      <c r="J15" s="749"/>
      <c r="K15" s="749"/>
      <c r="L15" s="749"/>
      <c r="M15" s="749"/>
      <c r="N15" s="749"/>
      <c r="O15" s="749"/>
      <c r="P15" s="750"/>
      <c r="Q15" s="24"/>
    </row>
    <row r="16" spans="1:17" s="5" customFormat="1" ht="15" customHeight="1" thickBot="1" x14ac:dyDescent="0.35">
      <c r="A16" s="115"/>
      <c r="B16" s="115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4"/>
    </row>
    <row r="17" spans="1:16" s="5" customFormat="1" ht="7.5" customHeight="1" thickBot="1" x14ac:dyDescent="0.35">
      <c r="A17" s="729"/>
      <c r="B17" s="730"/>
      <c r="C17" s="730"/>
      <c r="D17" s="730"/>
      <c r="E17" s="730"/>
      <c r="F17" s="730"/>
      <c r="G17" s="730"/>
      <c r="H17" s="730"/>
      <c r="I17" s="730"/>
      <c r="J17" s="730"/>
      <c r="K17" s="730"/>
      <c r="L17" s="730"/>
      <c r="M17" s="730"/>
      <c r="N17" s="730"/>
      <c r="O17" s="730"/>
      <c r="P17" s="731"/>
    </row>
    <row r="18" spans="1:16" ht="39.75" thickBot="1" x14ac:dyDescent="0.65">
      <c r="A18" s="732" t="s">
        <v>86</v>
      </c>
      <c r="B18" s="733"/>
      <c r="C18" s="733"/>
      <c r="D18" s="733"/>
      <c r="E18" s="733"/>
      <c r="F18" s="733"/>
      <c r="G18" s="733"/>
      <c r="H18" s="733"/>
      <c r="I18" s="733"/>
      <c r="J18" s="733"/>
      <c r="K18" s="733"/>
      <c r="L18" s="733"/>
      <c r="M18" s="733"/>
      <c r="N18" s="733"/>
      <c r="O18" s="733"/>
      <c r="P18" s="734"/>
    </row>
    <row r="19" spans="1:16" ht="8.25" customHeight="1" x14ac:dyDescent="0.35">
      <c r="A19" s="757"/>
      <c r="B19" s="758"/>
      <c r="C19" s="758"/>
      <c r="D19" s="758"/>
      <c r="E19" s="758"/>
      <c r="F19" s="758"/>
      <c r="G19" s="758"/>
      <c r="H19" s="758"/>
      <c r="I19" s="758"/>
      <c r="J19" s="758"/>
      <c r="K19" s="758"/>
      <c r="L19" s="758"/>
      <c r="M19" s="758"/>
      <c r="N19" s="758"/>
      <c r="O19" s="758"/>
      <c r="P19" s="759"/>
    </row>
    <row r="20" spans="1:16" ht="56.25" customHeight="1" thickBot="1" x14ac:dyDescent="0.4">
      <c r="A20" s="133"/>
      <c r="B20" s="133"/>
      <c r="C20" s="133"/>
      <c r="D20" s="134"/>
      <c r="E20" s="41"/>
      <c r="F20" s="114"/>
      <c r="G20" s="114"/>
      <c r="H20" s="49"/>
      <c r="I20" s="114"/>
      <c r="J20" s="49"/>
      <c r="K20" s="114"/>
      <c r="L20" s="40"/>
      <c r="M20" s="40"/>
      <c r="N20" s="40"/>
      <c r="O20" s="40"/>
      <c r="P20" s="40"/>
    </row>
    <row r="21" spans="1:16" ht="98.25" customHeight="1" thickBot="1" x14ac:dyDescent="0.35">
      <c r="A21" s="135" t="s">
        <v>57</v>
      </c>
      <c r="B21" s="760" t="s">
        <v>58</v>
      </c>
      <c r="C21" s="761"/>
      <c r="D21" s="760" t="s">
        <v>59</v>
      </c>
      <c r="E21" s="771"/>
      <c r="F21" s="771"/>
      <c r="G21" s="771"/>
      <c r="H21" s="771"/>
      <c r="I21" s="136" t="s">
        <v>60</v>
      </c>
      <c r="J21" s="140" t="s">
        <v>61</v>
      </c>
      <c r="K21" s="140" t="s">
        <v>71</v>
      </c>
      <c r="L21" s="176" t="s">
        <v>72</v>
      </c>
      <c r="M21" s="176" t="s">
        <v>74</v>
      </c>
      <c r="N21" s="141" t="s">
        <v>73</v>
      </c>
      <c r="O21" s="762" t="s">
        <v>62</v>
      </c>
      <c r="P21" s="763"/>
    </row>
    <row r="22" spans="1:16" ht="97.5" customHeight="1" x14ac:dyDescent="0.35">
      <c r="A22" s="446" t="s">
        <v>92</v>
      </c>
      <c r="B22" s="767" t="s">
        <v>152</v>
      </c>
      <c r="C22" s="768"/>
      <c r="D22" s="764" t="s">
        <v>151</v>
      </c>
      <c r="E22" s="765"/>
      <c r="F22" s="765"/>
      <c r="G22" s="765"/>
      <c r="H22" s="766"/>
      <c r="I22" s="450">
        <v>14411237</v>
      </c>
      <c r="J22" s="448"/>
      <c r="K22" s="449">
        <v>44440</v>
      </c>
      <c r="L22" s="449">
        <v>44795</v>
      </c>
      <c r="M22" s="483">
        <v>0.3024</v>
      </c>
      <c r="N22" s="483">
        <v>0.30009999999999998</v>
      </c>
      <c r="O22" s="769"/>
      <c r="P22" s="769"/>
    </row>
    <row r="23" spans="1:16" ht="120" customHeight="1" x14ac:dyDescent="0.35">
      <c r="A23" s="446" t="s">
        <v>100</v>
      </c>
      <c r="B23" s="767" t="s">
        <v>154</v>
      </c>
      <c r="C23" s="768"/>
      <c r="D23" s="764" t="s">
        <v>153</v>
      </c>
      <c r="E23" s="765"/>
      <c r="F23" s="765"/>
      <c r="G23" s="765"/>
      <c r="H23" s="766"/>
      <c r="I23" s="450">
        <v>14445778</v>
      </c>
      <c r="J23" s="138"/>
      <c r="K23" s="449">
        <v>44477</v>
      </c>
      <c r="L23" s="449">
        <v>44729</v>
      </c>
      <c r="M23" s="483">
        <v>0.57589999999999997</v>
      </c>
      <c r="N23" s="483">
        <v>0.57830000000000004</v>
      </c>
      <c r="O23" s="770"/>
      <c r="P23" s="770"/>
    </row>
    <row r="24" spans="1:16" ht="95.25" customHeight="1" x14ac:dyDescent="0.35">
      <c r="A24" s="446" t="s">
        <v>100</v>
      </c>
      <c r="B24" s="767"/>
      <c r="C24" s="768"/>
      <c r="D24" s="764" t="s">
        <v>155</v>
      </c>
      <c r="E24" s="765"/>
      <c r="F24" s="765"/>
      <c r="G24" s="765"/>
      <c r="H24" s="766"/>
      <c r="I24" s="450" t="s">
        <v>96</v>
      </c>
      <c r="J24" s="138"/>
      <c r="K24" s="449">
        <v>44529</v>
      </c>
      <c r="L24" s="449">
        <v>44643</v>
      </c>
      <c r="M24" s="61" t="s">
        <v>96</v>
      </c>
      <c r="N24" s="483">
        <v>1</v>
      </c>
      <c r="O24" s="770"/>
      <c r="P24" s="770"/>
    </row>
    <row r="25" spans="1:16" ht="56.25" customHeight="1" x14ac:dyDescent="0.3">
      <c r="A25" s="446" t="s">
        <v>92</v>
      </c>
      <c r="B25" s="767" t="s">
        <v>152</v>
      </c>
      <c r="C25" s="768"/>
      <c r="D25" s="764" t="s">
        <v>156</v>
      </c>
      <c r="E25" s="765"/>
      <c r="F25" s="765"/>
      <c r="G25" s="765"/>
      <c r="H25" s="766"/>
      <c r="I25" s="450">
        <v>15807525</v>
      </c>
      <c r="J25" s="138"/>
      <c r="K25" s="139"/>
      <c r="L25" s="139"/>
      <c r="M25" s="139"/>
      <c r="N25" s="139"/>
      <c r="O25" s="517" t="s">
        <v>192</v>
      </c>
      <c r="P25" s="517"/>
    </row>
    <row r="26" spans="1:16" ht="56.25" customHeight="1" x14ac:dyDescent="0.35">
      <c r="A26" s="446"/>
      <c r="B26" s="767"/>
      <c r="C26" s="768"/>
      <c r="D26" s="764"/>
      <c r="E26" s="765"/>
      <c r="F26" s="765"/>
      <c r="G26" s="765"/>
      <c r="H26" s="766"/>
      <c r="I26" s="447"/>
      <c r="J26" s="138"/>
      <c r="K26" s="139"/>
      <c r="L26" s="139"/>
      <c r="M26" s="139"/>
      <c r="N26" s="139"/>
      <c r="O26" s="770"/>
      <c r="P26" s="770"/>
    </row>
    <row r="27" spans="1:16" ht="56.25" customHeight="1" x14ac:dyDescent="0.35">
      <c r="A27" s="137"/>
      <c r="B27" s="772"/>
      <c r="C27" s="773"/>
      <c r="D27" s="774"/>
      <c r="E27" s="775"/>
      <c r="F27" s="775"/>
      <c r="G27" s="775"/>
      <c r="H27" s="776"/>
      <c r="I27" s="138"/>
      <c r="J27" s="138"/>
      <c r="K27" s="139"/>
      <c r="L27" s="139"/>
      <c r="M27" s="139"/>
      <c r="N27" s="139"/>
      <c r="O27" s="770"/>
      <c r="P27" s="770"/>
    </row>
    <row r="28" spans="1:16" ht="56.25" customHeight="1" x14ac:dyDescent="0.35">
      <c r="A28" s="133"/>
      <c r="B28" s="133"/>
      <c r="C28" s="133"/>
      <c r="D28" s="134"/>
      <c r="E28" s="41"/>
      <c r="F28" s="114"/>
      <c r="G28" s="114"/>
      <c r="H28" s="49"/>
      <c r="I28" s="114"/>
      <c r="J28" s="49"/>
      <c r="K28" s="114"/>
      <c r="L28" s="40"/>
      <c r="M28" s="40"/>
      <c r="N28" s="40"/>
      <c r="O28" s="40"/>
      <c r="P28" s="40"/>
    </row>
    <row r="29" spans="1:16" ht="56.25" customHeight="1" x14ac:dyDescent="0.3">
      <c r="A29" s="1"/>
    </row>
    <row r="30" spans="1:16" ht="56.25" customHeight="1" x14ac:dyDescent="0.3">
      <c r="B30" s="69"/>
      <c r="C30" s="21"/>
      <c r="D30" s="21"/>
      <c r="E30" s="21"/>
      <c r="F30" s="22"/>
      <c r="G30" s="1"/>
      <c r="H30" s="1"/>
      <c r="I30" s="1"/>
      <c r="J30" s="69"/>
      <c r="K30" s="21"/>
      <c r="L30" s="21"/>
      <c r="M30" s="21"/>
      <c r="N30" s="21"/>
      <c r="O30" s="22"/>
    </row>
    <row r="31" spans="1:16" ht="56.25" customHeight="1" x14ac:dyDescent="0.3">
      <c r="B31" s="498" t="s">
        <v>16</v>
      </c>
      <c r="C31" s="499"/>
      <c r="D31" s="499"/>
      <c r="E31" s="499"/>
      <c r="F31" s="500"/>
      <c r="J31" s="498" t="s">
        <v>17</v>
      </c>
      <c r="K31" s="499"/>
      <c r="L31" s="499"/>
      <c r="M31" s="499"/>
      <c r="N31" s="499"/>
      <c r="O31" s="500"/>
    </row>
  </sheetData>
  <mergeCells count="41">
    <mergeCell ref="B31:F31"/>
    <mergeCell ref="J31:O31"/>
    <mergeCell ref="D21:H21"/>
    <mergeCell ref="B22:C22"/>
    <mergeCell ref="D22:H22"/>
    <mergeCell ref="B23:C23"/>
    <mergeCell ref="D23:H23"/>
    <mergeCell ref="B24:C24"/>
    <mergeCell ref="O27:P27"/>
    <mergeCell ref="O26:P26"/>
    <mergeCell ref="B26:C26"/>
    <mergeCell ref="D26:H26"/>
    <mergeCell ref="B27:C27"/>
    <mergeCell ref="D27:H27"/>
    <mergeCell ref="O24:P24"/>
    <mergeCell ref="O25:P25"/>
    <mergeCell ref="D24:H24"/>
    <mergeCell ref="B25:C25"/>
    <mergeCell ref="D25:H25"/>
    <mergeCell ref="O22:P22"/>
    <mergeCell ref="O23:P23"/>
    <mergeCell ref="A18:P18"/>
    <mergeCell ref="A19:P19"/>
    <mergeCell ref="B21:C21"/>
    <mergeCell ref="O21:P21"/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</mergeCells>
  <printOptions horizontalCentered="1"/>
  <pageMargins left="0.39370078740157483" right="0.11811023622047245" top="0.74803149606299213" bottom="0.74803149606299213" header="0.31496062992125984" footer="0.31496062992125984"/>
  <pageSetup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80" zoomScaleNormal="100" zoomScaleSheetLayoutView="80" workbookViewId="0">
      <selection activeCell="D10" sqref="D10"/>
    </sheetView>
  </sheetViews>
  <sheetFormatPr baseColWidth="10" defaultRowHeight="15" x14ac:dyDescent="0.25"/>
  <cols>
    <col min="1" max="1" width="18.5703125" customWidth="1"/>
    <col min="2" max="2" width="37.7109375" customWidth="1"/>
    <col min="3" max="3" width="16" style="451" customWidth="1"/>
    <col min="4" max="4" width="14.5703125" style="451" bestFit="1" customWidth="1"/>
    <col min="5" max="5" width="27.28515625" customWidth="1"/>
    <col min="14" max="14" width="27.140625" customWidth="1"/>
  </cols>
  <sheetData>
    <row r="1" spans="1:10" x14ac:dyDescent="0.25">
      <c r="A1" s="777" t="s">
        <v>185</v>
      </c>
      <c r="B1" s="777"/>
      <c r="C1" s="777"/>
      <c r="D1" s="777"/>
      <c r="E1" s="777"/>
      <c r="F1" s="777"/>
    </row>
    <row r="2" spans="1:10" x14ac:dyDescent="0.25">
      <c r="C2" s="451" t="s">
        <v>186</v>
      </c>
      <c r="D2" t="s">
        <v>184</v>
      </c>
    </row>
    <row r="3" spans="1:10" ht="18.75" customHeight="1" x14ac:dyDescent="0.25">
      <c r="B3" s="468" t="s">
        <v>98</v>
      </c>
      <c r="C3" s="458"/>
      <c r="D3" s="466"/>
    </row>
    <row r="4" spans="1:10" ht="15" customHeight="1" x14ac:dyDescent="0.25">
      <c r="A4">
        <v>12</v>
      </c>
      <c r="B4" s="459" t="s">
        <v>157</v>
      </c>
      <c r="C4" s="460">
        <v>103479049</v>
      </c>
      <c r="D4" s="474">
        <v>0</v>
      </c>
    </row>
    <row r="5" spans="1:10" ht="15" customHeight="1" x14ac:dyDescent="0.25">
      <c r="B5" s="459" t="s">
        <v>177</v>
      </c>
      <c r="C5" s="460">
        <v>2748000</v>
      </c>
      <c r="D5" s="474">
        <f>146322.56+188000</f>
        <v>334322.56</v>
      </c>
    </row>
    <row r="6" spans="1:10" ht="15" customHeight="1" x14ac:dyDescent="0.25">
      <c r="A6">
        <v>1</v>
      </c>
      <c r="B6" s="459" t="s">
        <v>158</v>
      </c>
      <c r="C6" s="460">
        <f>3933400+13529650</f>
        <v>17463050</v>
      </c>
      <c r="D6" s="474">
        <f>247500+31000+238650+25000+42900+61050+65300+90000</f>
        <v>801400</v>
      </c>
      <c r="E6">
        <v>460250</v>
      </c>
      <c r="J6">
        <f>C4/70000</f>
        <v>1478.2721285714285</v>
      </c>
    </row>
    <row r="7" spans="1:10" ht="15" customHeight="1" x14ac:dyDescent="0.25">
      <c r="B7" s="461"/>
      <c r="C7" s="462">
        <f>SUM(C4:C6)</f>
        <v>123690099</v>
      </c>
      <c r="D7" s="482">
        <f>SUM(D4:D6)</f>
        <v>1135722.56</v>
      </c>
    </row>
    <row r="8" spans="1:10" ht="6" customHeight="1" x14ac:dyDescent="0.25"/>
    <row r="9" spans="1:10" ht="18.75" x14ac:dyDescent="0.25">
      <c r="B9" s="425" t="s">
        <v>146</v>
      </c>
      <c r="C9" s="463"/>
      <c r="D9" s="475"/>
    </row>
    <row r="10" spans="1:10" x14ac:dyDescent="0.25">
      <c r="A10">
        <v>11</v>
      </c>
      <c r="B10" s="459" t="s">
        <v>159</v>
      </c>
      <c r="C10" s="460">
        <v>93139926</v>
      </c>
      <c r="D10" s="474">
        <f>5145000+11710000+4615000+4125000+2205000</f>
        <v>27800000</v>
      </c>
    </row>
    <row r="11" spans="1:10" x14ac:dyDescent="0.25">
      <c r="A11">
        <v>1</v>
      </c>
      <c r="B11" s="459" t="s">
        <v>158</v>
      </c>
      <c r="C11" s="460">
        <v>4142500</v>
      </c>
      <c r="D11" s="474">
        <f>341498.25+30000+222000+186000+386000+226000</f>
        <v>1391498.25</v>
      </c>
    </row>
    <row r="12" spans="1:10" x14ac:dyDescent="0.25">
      <c r="B12" s="461"/>
      <c r="C12" s="462">
        <f>SUM(C10:C11)</f>
        <v>97282426</v>
      </c>
      <c r="D12" s="482">
        <f>SUM(D10:D11)</f>
        <v>29191498.25</v>
      </c>
    </row>
    <row r="13" spans="1:10" ht="6" customHeight="1" x14ac:dyDescent="0.25"/>
    <row r="14" spans="1:10" x14ac:dyDescent="0.25">
      <c r="B14" s="456" t="s">
        <v>160</v>
      </c>
      <c r="C14" s="464"/>
      <c r="D14" s="476"/>
    </row>
    <row r="15" spans="1:10" x14ac:dyDescent="0.25">
      <c r="B15" s="461" t="s">
        <v>161</v>
      </c>
      <c r="C15" s="462">
        <v>15086227</v>
      </c>
      <c r="D15" s="482"/>
    </row>
    <row r="16" spans="1:10" ht="6" customHeight="1" x14ac:dyDescent="0.25"/>
    <row r="17" spans="2:14" ht="30" x14ac:dyDescent="0.25">
      <c r="B17" s="457" t="s">
        <v>149</v>
      </c>
      <c r="C17" s="465"/>
      <c r="D17" s="476"/>
    </row>
    <row r="18" spans="2:14" x14ac:dyDescent="0.25">
      <c r="B18" s="461" t="s">
        <v>179</v>
      </c>
      <c r="C18" s="462">
        <v>12357941</v>
      </c>
      <c r="D18" s="482"/>
    </row>
    <row r="19" spans="2:14" ht="6" customHeight="1" x14ac:dyDescent="0.25"/>
    <row r="21" spans="2:14" x14ac:dyDescent="0.25">
      <c r="B21" s="456" t="s">
        <v>162</v>
      </c>
      <c r="C21" s="464"/>
      <c r="D21" s="476"/>
    </row>
    <row r="22" spans="2:14" x14ac:dyDescent="0.25">
      <c r="B22" s="461" t="s">
        <v>163</v>
      </c>
      <c r="C22" s="462">
        <v>9614666</v>
      </c>
      <c r="D22" s="482"/>
    </row>
    <row r="23" spans="2:14" ht="6" customHeight="1" x14ac:dyDescent="0.25">
      <c r="K23" s="587" t="s">
        <v>148</v>
      </c>
      <c r="L23" s="588"/>
      <c r="M23" s="589"/>
      <c r="N23" s="390">
        <v>5679190</v>
      </c>
    </row>
    <row r="24" spans="2:14" ht="18.75" x14ac:dyDescent="0.25">
      <c r="K24" s="422" t="s">
        <v>147</v>
      </c>
      <c r="L24" s="423"/>
      <c r="M24" s="424"/>
      <c r="N24" s="188">
        <v>1705887</v>
      </c>
    </row>
    <row r="25" spans="2:14" ht="18.75" x14ac:dyDescent="0.25">
      <c r="B25" s="456" t="s">
        <v>164</v>
      </c>
      <c r="C25" s="464"/>
      <c r="D25" s="476"/>
      <c r="K25" s="579" t="s">
        <v>140</v>
      </c>
      <c r="L25" s="580"/>
      <c r="M25" s="581"/>
      <c r="N25" s="188">
        <v>27597900</v>
      </c>
    </row>
    <row r="26" spans="2:14" x14ac:dyDescent="0.25">
      <c r="B26" s="459" t="s">
        <v>165</v>
      </c>
      <c r="C26" s="460">
        <v>3426120</v>
      </c>
      <c r="D26" s="474">
        <f>1027836+1047484</f>
        <v>2075320</v>
      </c>
      <c r="E26" s="451"/>
    </row>
    <row r="27" spans="2:14" x14ac:dyDescent="0.25">
      <c r="B27" s="459" t="s">
        <v>166</v>
      </c>
      <c r="C27" s="460">
        <v>15235145</v>
      </c>
      <c r="D27" s="474">
        <f>7652589+7582556</f>
        <v>15235145</v>
      </c>
    </row>
    <row r="28" spans="2:14" x14ac:dyDescent="0.25">
      <c r="B28" s="459" t="s">
        <v>167</v>
      </c>
      <c r="C28" s="460">
        <v>477090</v>
      </c>
      <c r="D28" s="474">
        <f>131409+133921</f>
        <v>265330</v>
      </c>
    </row>
    <row r="29" spans="2:14" x14ac:dyDescent="0.25">
      <c r="B29" s="459" t="s">
        <v>168</v>
      </c>
      <c r="C29" s="460">
        <v>5607900</v>
      </c>
      <c r="D29" s="474">
        <f>1682370+1714530</f>
        <v>3396900</v>
      </c>
    </row>
    <row r="30" spans="2:14" x14ac:dyDescent="0.25">
      <c r="B30" s="459" t="s">
        <v>163</v>
      </c>
      <c r="C30" s="460">
        <v>10031970</v>
      </c>
      <c r="D30" s="474">
        <f>2664171+2715099</f>
        <v>5379270</v>
      </c>
    </row>
    <row r="31" spans="2:14" x14ac:dyDescent="0.25">
      <c r="B31" s="459" t="s">
        <v>169</v>
      </c>
      <c r="C31" s="460">
        <v>78719850</v>
      </c>
      <c r="D31" s="474">
        <f>23615955+24067395</f>
        <v>47683350</v>
      </c>
    </row>
    <row r="32" spans="2:14" x14ac:dyDescent="0.25">
      <c r="B32" s="459" t="s">
        <v>159</v>
      </c>
      <c r="C32" s="460">
        <v>15547110</v>
      </c>
      <c r="D32" s="474">
        <f>292113+297697</f>
        <v>589810</v>
      </c>
    </row>
    <row r="33" spans="1:4" x14ac:dyDescent="0.25">
      <c r="B33" s="461"/>
      <c r="C33" s="462">
        <f>SUM(C26:C32)</f>
        <v>129045185</v>
      </c>
      <c r="D33" s="482">
        <f>SUM(D26:D32)</f>
        <v>74625125</v>
      </c>
    </row>
    <row r="34" spans="1:4" ht="6" customHeight="1" x14ac:dyDescent="0.25"/>
    <row r="36" spans="1:4" ht="56.25" x14ac:dyDescent="0.25">
      <c r="B36" s="427" t="s">
        <v>148</v>
      </c>
      <c r="C36" s="466"/>
      <c r="D36" s="466"/>
    </row>
    <row r="37" spans="1:4" x14ac:dyDescent="0.25">
      <c r="A37" t="s">
        <v>174</v>
      </c>
      <c r="B37" s="459" t="s">
        <v>166</v>
      </c>
      <c r="C37" s="460">
        <v>66000</v>
      </c>
      <c r="D37" s="474"/>
    </row>
    <row r="38" spans="1:4" x14ac:dyDescent="0.25">
      <c r="B38" s="459" t="s">
        <v>170</v>
      </c>
      <c r="C38" s="460">
        <v>100000</v>
      </c>
      <c r="D38" s="474"/>
    </row>
    <row r="39" spans="1:4" x14ac:dyDescent="0.25">
      <c r="B39" s="459" t="s">
        <v>171</v>
      </c>
      <c r="C39" s="460">
        <v>691850</v>
      </c>
      <c r="D39" s="474"/>
    </row>
    <row r="40" spans="1:4" x14ac:dyDescent="0.25">
      <c r="A40" t="s">
        <v>175</v>
      </c>
      <c r="B40" s="459" t="s">
        <v>166</v>
      </c>
      <c r="C40" s="460">
        <v>85000</v>
      </c>
      <c r="D40" s="474"/>
    </row>
    <row r="41" spans="1:4" x14ac:dyDescent="0.25">
      <c r="B41" s="459" t="s">
        <v>170</v>
      </c>
      <c r="C41" s="460">
        <v>1450000</v>
      </c>
      <c r="D41" s="474"/>
    </row>
    <row r="42" spans="1:4" x14ac:dyDescent="0.25">
      <c r="B42" s="459" t="s">
        <v>171</v>
      </c>
      <c r="C42" s="460">
        <v>3286340</v>
      </c>
      <c r="D42" s="474"/>
    </row>
    <row r="43" spans="1:4" x14ac:dyDescent="0.25">
      <c r="B43" s="461"/>
      <c r="C43" s="462">
        <f>SUM(C37:C42)</f>
        <v>5679190</v>
      </c>
      <c r="D43" s="482"/>
    </row>
    <row r="44" spans="1:4" ht="6" customHeight="1" x14ac:dyDescent="0.25"/>
    <row r="45" spans="1:4" x14ac:dyDescent="0.25">
      <c r="B45" s="456" t="s">
        <v>147</v>
      </c>
      <c r="C45" s="464"/>
      <c r="D45" s="476"/>
    </row>
    <row r="46" spans="1:4" x14ac:dyDescent="0.25">
      <c r="B46" s="461" t="s">
        <v>172</v>
      </c>
      <c r="C46" s="462">
        <v>1705887</v>
      </c>
      <c r="D46" s="482">
        <v>315000</v>
      </c>
    </row>
    <row r="47" spans="1:4" ht="6" customHeight="1" x14ac:dyDescent="0.25"/>
    <row r="48" spans="1:4" x14ac:dyDescent="0.25">
      <c r="B48" s="456" t="s">
        <v>173</v>
      </c>
      <c r="C48" s="464"/>
      <c r="D48" s="476"/>
    </row>
    <row r="49" spans="1:5" x14ac:dyDescent="0.25">
      <c r="A49" t="s">
        <v>176</v>
      </c>
      <c r="B49" s="459" t="s">
        <v>166</v>
      </c>
      <c r="C49" s="460">
        <v>8641600</v>
      </c>
      <c r="D49" s="474">
        <f>594880+2449040</f>
        <v>3043920</v>
      </c>
    </row>
    <row r="50" spans="1:5" x14ac:dyDescent="0.25">
      <c r="A50" t="s">
        <v>174</v>
      </c>
      <c r="B50" s="459" t="s">
        <v>166</v>
      </c>
      <c r="C50" s="460">
        <v>18956300</v>
      </c>
      <c r="D50" s="474">
        <f>3956700+2637800</f>
        <v>6594500</v>
      </c>
    </row>
    <row r="51" spans="1:5" x14ac:dyDescent="0.25">
      <c r="B51" s="461"/>
      <c r="C51" s="462">
        <f>SUM(C49:C50)</f>
        <v>27597900</v>
      </c>
      <c r="D51" s="482">
        <f>SUM(D49:D50)</f>
        <v>9638420</v>
      </c>
    </row>
    <row r="52" spans="1:5" ht="6" customHeight="1" x14ac:dyDescent="0.25">
      <c r="C52" s="452"/>
    </row>
    <row r="53" spans="1:5" x14ac:dyDescent="0.25">
      <c r="B53" s="456" t="s">
        <v>95</v>
      </c>
      <c r="C53" s="465"/>
      <c r="D53" s="476"/>
    </row>
    <row r="54" spans="1:5" x14ac:dyDescent="0.25">
      <c r="B54" s="459" t="s">
        <v>177</v>
      </c>
      <c r="C54" s="467">
        <v>3108000</v>
      </c>
      <c r="D54" s="474">
        <f>855645.16+128000+146000+146000+169580</f>
        <v>1445225.1600000001</v>
      </c>
    </row>
    <row r="55" spans="1:5" x14ac:dyDescent="0.25">
      <c r="B55" s="459">
        <v>121</v>
      </c>
      <c r="C55" s="467">
        <f>1992751</f>
        <v>1992751</v>
      </c>
      <c r="D55" s="474">
        <f>1148153.5+766774+6975</f>
        <v>1921902.5</v>
      </c>
      <c r="E55" s="451">
        <f>C55-D55</f>
        <v>70848.5</v>
      </c>
    </row>
    <row r="56" spans="1:5" x14ac:dyDescent="0.25">
      <c r="B56" s="459">
        <v>136</v>
      </c>
      <c r="C56" s="467">
        <v>264000</v>
      </c>
      <c r="D56" s="474">
        <f>4080.5+927+948+1595+2435.42</f>
        <v>9985.92</v>
      </c>
    </row>
    <row r="57" spans="1:5" x14ac:dyDescent="0.25">
      <c r="B57" s="459">
        <v>143</v>
      </c>
      <c r="C57" s="467">
        <v>112600</v>
      </c>
      <c r="D57" s="474"/>
    </row>
    <row r="58" spans="1:5" x14ac:dyDescent="0.25">
      <c r="B58" s="459">
        <v>184</v>
      </c>
      <c r="C58" s="467">
        <v>115000</v>
      </c>
      <c r="D58" s="474"/>
    </row>
    <row r="59" spans="1:5" x14ac:dyDescent="0.25">
      <c r="B59" s="459">
        <v>189</v>
      </c>
      <c r="C59" s="467">
        <v>240000</v>
      </c>
      <c r="D59" s="474"/>
    </row>
    <row r="60" spans="1:5" x14ac:dyDescent="0.25">
      <c r="B60" s="459">
        <v>199</v>
      </c>
      <c r="C60" s="467">
        <v>117814</v>
      </c>
      <c r="D60" s="474"/>
    </row>
    <row r="61" spans="1:5" x14ac:dyDescent="0.25">
      <c r="B61" s="459">
        <v>241</v>
      </c>
      <c r="C61" s="467">
        <v>12900</v>
      </c>
      <c r="D61" s="474">
        <v>2273.6</v>
      </c>
    </row>
    <row r="62" spans="1:5" x14ac:dyDescent="0.25">
      <c r="B62" s="459">
        <v>243</v>
      </c>
      <c r="C62" s="467">
        <v>1000</v>
      </c>
      <c r="D62" s="474">
        <v>355.78</v>
      </c>
    </row>
    <row r="63" spans="1:5" x14ac:dyDescent="0.25">
      <c r="B63" s="459">
        <v>244</v>
      </c>
      <c r="C63" s="467">
        <v>12920</v>
      </c>
      <c r="D63" s="474">
        <v>4852.24</v>
      </c>
    </row>
    <row r="64" spans="1:5" x14ac:dyDescent="0.25">
      <c r="B64" s="459">
        <v>268</v>
      </c>
      <c r="C64" s="467">
        <v>1500</v>
      </c>
      <c r="D64" s="474">
        <v>897</v>
      </c>
    </row>
    <row r="65" spans="2:10" x14ac:dyDescent="0.25">
      <c r="B65" s="459">
        <v>291</v>
      </c>
      <c r="C65" s="460">
        <v>12900</v>
      </c>
      <c r="D65" s="474">
        <v>941.76</v>
      </c>
    </row>
    <row r="66" spans="2:10" x14ac:dyDescent="0.25">
      <c r="B66" s="459">
        <v>322</v>
      </c>
      <c r="C66" s="460">
        <v>48000</v>
      </c>
      <c r="D66" s="474"/>
    </row>
    <row r="67" spans="2:10" x14ac:dyDescent="0.25">
      <c r="B67" s="459">
        <v>328</v>
      </c>
      <c r="C67" s="460">
        <v>77440</v>
      </c>
      <c r="D67" s="474"/>
    </row>
    <row r="68" spans="2:10" x14ac:dyDescent="0.25">
      <c r="B68" s="459" t="s">
        <v>178</v>
      </c>
      <c r="C68" s="460">
        <v>77440</v>
      </c>
      <c r="D68" s="474"/>
    </row>
    <row r="69" spans="2:10" x14ac:dyDescent="0.25">
      <c r="B69" s="461"/>
      <c r="C69" s="462">
        <f>SUM(C54:C68)</f>
        <v>6194265</v>
      </c>
      <c r="D69" s="482">
        <f>SUM(D54:D68)</f>
        <v>3386433.96</v>
      </c>
      <c r="J69">
        <v>424130849</v>
      </c>
    </row>
    <row r="70" spans="2:10" ht="6" customHeight="1" x14ac:dyDescent="0.25">
      <c r="J70" s="451"/>
    </row>
    <row r="71" spans="2:10" x14ac:dyDescent="0.25">
      <c r="C71" s="452">
        <f>C69+C51+C46+C43+C33+C22+C18+C15+C12+C7</f>
        <v>428253786</v>
      </c>
      <c r="D71" s="452">
        <f>D69+D51+D46+D33+D22+D18+D15+D12+D7</f>
        <v>118292199.77000001</v>
      </c>
    </row>
    <row r="73" spans="2:10" x14ac:dyDescent="0.25">
      <c r="J73" s="451">
        <f>J69-C71</f>
        <v>-4122937</v>
      </c>
    </row>
  </sheetData>
  <mergeCells count="3">
    <mergeCell ref="K23:M23"/>
    <mergeCell ref="K25:M25"/>
    <mergeCell ref="A1:F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IAFF (1)</vt:lpstr>
      <vt:lpstr>IAFF (2)</vt:lpstr>
      <vt:lpstr>IAFF (3)</vt:lpstr>
      <vt:lpstr>Hoja1</vt:lpstr>
      <vt:lpstr>Hoja1!Área_de_impresión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2022-09-02T21:48:06Z</cp:lastPrinted>
  <dcterms:created xsi:type="dcterms:W3CDTF">2014-02-17T15:43:28Z</dcterms:created>
  <dcterms:modified xsi:type="dcterms:W3CDTF">2022-09-02T22:26:32Z</dcterms:modified>
</cp:coreProperties>
</file>