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OCTUBRE\DICONIME\"/>
    </mc:Choice>
  </mc:AlternateContent>
  <xr:revisionPtr revIDLastSave="0" documentId="13_ncr:1_{3A645495-900B-4851-A15D-75DD8678ADA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11" r:id="rId2"/>
    <sheet name="IAFF (3)" sheetId="8" r:id="rId3"/>
    <sheet name="Hoja1" sheetId="12" r:id="rId4"/>
  </sheets>
  <externalReferences>
    <externalReference r:id="rId5"/>
    <externalReference r:id="rId6"/>
  </externalReferences>
  <definedNames>
    <definedName name="_xlnm._FilterDatabase" localSheetId="2" hidden="1">'IAFF (3)'!$B$21:$P$21</definedName>
    <definedName name="_xlnm.Print_Area" localSheetId="3">Hoja1!$A$1:$E$85</definedName>
    <definedName name="_xlnm.Print_Area" localSheetId="0">'IAFF (1)'!$A$1:$P$59</definedName>
    <definedName name="_xlnm.Print_Area" localSheetId="1">'IAFF (2)'!$A$1:$V$126</definedName>
    <definedName name="_xlnm.Print_Area" localSheetId="2">'IAFF (3)'!$A$1:$R$50</definedName>
    <definedName name="_xlnm.Print_Titles" localSheetId="0">'IAFF (1)'!$30:$36</definedName>
    <definedName name="_xlnm.Print_Titles" localSheetId="1">'IAFF (2)'!$1:$14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2" i="1" l="1"/>
  <c r="G63" i="1"/>
  <c r="G65" i="1"/>
  <c r="G64" i="1"/>
  <c r="C64" i="1"/>
  <c r="H50" i="1"/>
  <c r="E62" i="12"/>
  <c r="E64" i="12"/>
  <c r="E85" i="12" s="1"/>
  <c r="E88" i="12" s="1"/>
  <c r="E77" i="12"/>
  <c r="E63" i="12"/>
  <c r="C63" i="12"/>
  <c r="E61" i="12"/>
  <c r="C61" i="12"/>
  <c r="C59" i="12"/>
  <c r="E58" i="12"/>
  <c r="C58" i="12"/>
  <c r="E56" i="12"/>
  <c r="C56" i="12"/>
  <c r="C52" i="12"/>
  <c r="C50" i="12"/>
  <c r="E45" i="12"/>
  <c r="E42" i="12"/>
  <c r="C35" i="12"/>
  <c r="E31" i="12"/>
  <c r="C76" i="12"/>
  <c r="C75" i="12"/>
  <c r="C74" i="12"/>
  <c r="C73" i="12"/>
  <c r="E83" i="12"/>
  <c r="C68" i="12"/>
  <c r="E67" i="12"/>
  <c r="H48" i="1"/>
  <c r="E57" i="12"/>
  <c r="E54" i="12"/>
  <c r="C54" i="12"/>
  <c r="C34" i="12"/>
  <c r="C31" i="12"/>
  <c r="C83" i="12"/>
  <c r="C69" i="12"/>
  <c r="C60" i="12"/>
  <c r="C42" i="12"/>
  <c r="C33" i="12"/>
  <c r="D121" i="11"/>
  <c r="L83" i="11"/>
  <c r="L95" i="11"/>
  <c r="B120" i="11"/>
  <c r="L102" i="11"/>
  <c r="B121" i="11"/>
  <c r="C30" i="12" l="1"/>
  <c r="C51" i="12"/>
  <c r="C45" i="12"/>
  <c r="C44" i="12"/>
  <c r="C43" i="12"/>
  <c r="C41" i="12"/>
  <c r="E59" i="12" l="1"/>
  <c r="C81" i="12"/>
  <c r="C67" i="12"/>
  <c r="C77" i="12" s="1"/>
  <c r="K27" i="1" s="1"/>
  <c r="E69" i="12"/>
  <c r="C62" i="12"/>
  <c r="C38" i="12"/>
  <c r="C40" i="12"/>
  <c r="H65" i="1"/>
  <c r="C64" i="12" l="1"/>
  <c r="D122" i="11"/>
  <c r="C122" i="11"/>
  <c r="B122" i="11"/>
  <c r="J108" i="11"/>
  <c r="P106" i="11"/>
  <c r="R105" i="11"/>
  <c r="P105" i="11"/>
  <c r="P104" i="11"/>
  <c r="R103" i="11"/>
  <c r="P103" i="11"/>
  <c r="P102" i="11"/>
  <c r="Q102" i="11" s="1"/>
  <c r="N101" i="11"/>
  <c r="R101" i="11" s="1"/>
  <c r="K101" i="11"/>
  <c r="K108" i="11" s="1"/>
  <c r="G47" i="11"/>
  <c r="P101" i="11" l="1"/>
  <c r="P108" i="11"/>
  <c r="Q108" i="11" s="1"/>
  <c r="L108" i="11"/>
  <c r="S101" i="11"/>
  <c r="G40" i="1"/>
  <c r="N91" i="11"/>
  <c r="E29" i="12"/>
  <c r="C29" i="12"/>
  <c r="K20" i="1" s="1"/>
  <c r="M102" i="11" l="1"/>
  <c r="G102" i="11"/>
  <c r="G108" i="11" s="1"/>
  <c r="L20" i="1"/>
  <c r="N102" i="11" s="1"/>
  <c r="R102" i="11" s="1"/>
  <c r="M20" i="1" l="1"/>
  <c r="O102" i="11"/>
  <c r="S102" i="11" s="1"/>
  <c r="G29" i="1"/>
  <c r="F29" i="1"/>
  <c r="K25" i="1"/>
  <c r="M104" i="11" s="1"/>
  <c r="C6" i="12"/>
  <c r="L32" i="8"/>
  <c r="L31" i="8"/>
  <c r="L30" i="8"/>
  <c r="L29" i="8"/>
  <c r="C11" i="12" l="1"/>
  <c r="I20" i="1" l="1"/>
  <c r="K28" i="1" l="1"/>
  <c r="M107" i="11" s="1"/>
  <c r="K19" i="1"/>
  <c r="C85" i="12"/>
  <c r="P91" i="11" l="1"/>
  <c r="G83" i="11"/>
  <c r="P81" i="11"/>
  <c r="N81" i="11"/>
  <c r="R81" i="11" s="1"/>
  <c r="M81" i="11"/>
  <c r="P80" i="11"/>
  <c r="N80" i="11"/>
  <c r="R80" i="11" s="1"/>
  <c r="M80" i="11"/>
  <c r="N79" i="11"/>
  <c r="M79" i="11"/>
  <c r="N78" i="11"/>
  <c r="M78" i="11"/>
  <c r="K78" i="11"/>
  <c r="F78" i="11"/>
  <c r="J78" i="11" s="1"/>
  <c r="B78" i="11"/>
  <c r="N77" i="11"/>
  <c r="R77" i="11" s="1"/>
  <c r="M77" i="11"/>
  <c r="K77" i="11"/>
  <c r="F77" i="11"/>
  <c r="J77" i="11" s="1"/>
  <c r="B77" i="11"/>
  <c r="N76" i="11"/>
  <c r="M76" i="11"/>
  <c r="K76" i="11"/>
  <c r="P76" i="11" s="1"/>
  <c r="F76" i="11"/>
  <c r="J76" i="11" s="1"/>
  <c r="B76" i="11"/>
  <c r="O91" i="11" l="1"/>
  <c r="O78" i="11"/>
  <c r="J83" i="11"/>
  <c r="O76" i="11"/>
  <c r="S76" i="11" s="1"/>
  <c r="Q76" i="11"/>
  <c r="L78" i="11"/>
  <c r="O81" i="11"/>
  <c r="S81" i="11" s="1"/>
  <c r="L77" i="11"/>
  <c r="O77" i="11"/>
  <c r="S77" i="11" s="1"/>
  <c r="R78" i="11"/>
  <c r="S78" i="11" s="1"/>
  <c r="N83" i="11"/>
  <c r="L76" i="11"/>
  <c r="P77" i="11"/>
  <c r="Q77" i="11" s="1"/>
  <c r="R76" i="11"/>
  <c r="P78" i="11"/>
  <c r="Q78" i="11" s="1"/>
  <c r="M83" i="11"/>
  <c r="S80" i="11"/>
  <c r="K83" i="11"/>
  <c r="O83" i="11" l="1"/>
  <c r="R83" i="11"/>
  <c r="S83" i="11" s="1"/>
  <c r="P83" i="11"/>
  <c r="Q83" i="11" s="1"/>
  <c r="L28" i="1" l="1"/>
  <c r="N107" i="11" s="1"/>
  <c r="R107" i="11" l="1"/>
  <c r="O107" i="11"/>
  <c r="R93" i="11"/>
  <c r="G95" i="11"/>
  <c r="P93" i="11"/>
  <c r="P92" i="11"/>
  <c r="P90" i="11"/>
  <c r="P89" i="11"/>
  <c r="K88" i="11"/>
  <c r="P88" i="11" s="1"/>
  <c r="Q88" i="11" s="1"/>
  <c r="O93" i="11" l="1"/>
  <c r="S93" i="11" s="1"/>
  <c r="Q89" i="11"/>
  <c r="J95" i="11"/>
  <c r="K95" i="11"/>
  <c r="L88" i="11"/>
  <c r="L89" i="11"/>
  <c r="P95" i="11" l="1"/>
  <c r="Q95" i="11" s="1"/>
  <c r="L25" i="1" l="1"/>
  <c r="N104" i="11" s="1"/>
  <c r="O104" i="11" s="1"/>
  <c r="E6" i="12"/>
  <c r="E11" i="12"/>
  <c r="L27" i="1" l="1"/>
  <c r="N106" i="11" s="1"/>
  <c r="R89" i="11"/>
  <c r="L21" i="1"/>
  <c r="N90" i="11" s="1"/>
  <c r="R90" i="11" s="1"/>
  <c r="L19" i="1"/>
  <c r="R106" i="11" l="1"/>
  <c r="N108" i="11"/>
  <c r="N88" i="11"/>
  <c r="R92" i="11"/>
  <c r="L29" i="1"/>
  <c r="N95" i="11"/>
  <c r="R95" i="11" s="1"/>
  <c r="F121" i="11" s="1"/>
  <c r="R88" i="11"/>
  <c r="L38" i="1"/>
  <c r="L37" i="1"/>
  <c r="L36" i="1"/>
  <c r="R108" i="11" l="1"/>
  <c r="F122" i="11" s="1"/>
  <c r="G123" i="11" s="1"/>
  <c r="P66" i="11"/>
  <c r="M106" i="11" l="1"/>
  <c r="K21" i="1"/>
  <c r="K29" i="1" s="1"/>
  <c r="M29" i="1" l="1"/>
  <c r="D52" i="1" s="1"/>
  <c r="M108" i="11"/>
  <c r="O108" i="11" s="1"/>
  <c r="O106" i="11"/>
  <c r="S106" i="11" s="1"/>
  <c r="M95" i="11"/>
  <c r="S95" i="11" s="1"/>
  <c r="F120" i="11"/>
  <c r="S108" i="11" l="1"/>
  <c r="C120" i="11"/>
  <c r="D120" i="11"/>
  <c r="X33" i="1" l="1"/>
  <c r="K64" i="11" l="1"/>
  <c r="Y55" i="1" l="1"/>
  <c r="S19" i="1" l="1"/>
  <c r="L40" i="1" l="1"/>
  <c r="K40" i="1"/>
  <c r="H29" i="1"/>
  <c r="I29" i="1" s="1"/>
  <c r="F66" i="11" l="1"/>
  <c r="F65" i="11"/>
  <c r="F64" i="11"/>
  <c r="I40" i="1" l="1"/>
  <c r="O88" i="11" l="1"/>
  <c r="S88" i="11" s="1"/>
  <c r="O89" i="11" l="1"/>
  <c r="S89" i="11" s="1"/>
  <c r="O90" i="11"/>
  <c r="S92" i="11"/>
  <c r="M64" i="11"/>
  <c r="B65" i="11"/>
  <c r="L64" i="11"/>
  <c r="M53" i="11"/>
  <c r="J53" i="11"/>
  <c r="J54" i="11"/>
  <c r="J55" i="11"/>
  <c r="K54" i="11"/>
  <c r="P54" i="11" s="1"/>
  <c r="M54" i="11"/>
  <c r="M55" i="11"/>
  <c r="M56" i="11"/>
  <c r="B64" i="11"/>
  <c r="P68" i="11"/>
  <c r="Q68" i="11"/>
  <c r="R67" i="11"/>
  <c r="K67" i="11"/>
  <c r="P67" i="11" s="1"/>
  <c r="R66" i="11"/>
  <c r="R65" i="11"/>
  <c r="K65" i="11"/>
  <c r="P65" i="11" s="1"/>
  <c r="R64" i="11"/>
  <c r="D115" i="11"/>
  <c r="N58" i="11"/>
  <c r="M58" i="11"/>
  <c r="K58" i="11"/>
  <c r="P58" i="11" s="1"/>
  <c r="J58" i="11"/>
  <c r="P57" i="11"/>
  <c r="N57" i="11"/>
  <c r="M57" i="11"/>
  <c r="J57" i="11"/>
  <c r="L57" i="11" s="1"/>
  <c r="Q57" i="11" s="1"/>
  <c r="S56" i="11"/>
  <c r="N56" i="11"/>
  <c r="R56" i="11" s="1"/>
  <c r="K56" i="11"/>
  <c r="P56" i="11" s="1"/>
  <c r="J56" i="11"/>
  <c r="N55" i="11"/>
  <c r="R55" i="11" s="1"/>
  <c r="K55" i="11"/>
  <c r="P55" i="11" s="1"/>
  <c r="N54" i="11"/>
  <c r="R54" i="11" s="1"/>
  <c r="N53" i="11"/>
  <c r="K53" i="11"/>
  <c r="P53" i="11" s="1"/>
  <c r="N47" i="11"/>
  <c r="M47" i="11"/>
  <c r="K47" i="11"/>
  <c r="J47" i="11"/>
  <c r="R46" i="11"/>
  <c r="Q46" i="11"/>
  <c r="P46" i="11"/>
  <c r="O46" i="11"/>
  <c r="S46" i="11" s="1"/>
  <c r="R45" i="11"/>
  <c r="Q45" i="11"/>
  <c r="P45" i="11"/>
  <c r="O45" i="11"/>
  <c r="S45" i="11" s="1"/>
  <c r="R44" i="11"/>
  <c r="P44" i="11"/>
  <c r="O44" i="11"/>
  <c r="S44" i="11" s="1"/>
  <c r="L44" i="11"/>
  <c r="Q44" i="11" s="1"/>
  <c r="R43" i="11"/>
  <c r="P43" i="11"/>
  <c r="O43" i="11"/>
  <c r="S43" i="11" s="1"/>
  <c r="L43" i="11"/>
  <c r="Q43" i="11" s="1"/>
  <c r="R42" i="11"/>
  <c r="P42" i="11"/>
  <c r="O42" i="11"/>
  <c r="S42" i="11" s="1"/>
  <c r="L42" i="11"/>
  <c r="Q42" i="11" s="1"/>
  <c r="R41" i="11"/>
  <c r="P41" i="11"/>
  <c r="O41" i="11"/>
  <c r="S41" i="11" s="1"/>
  <c r="L41" i="11"/>
  <c r="Q41" i="11" s="1"/>
  <c r="N35" i="11"/>
  <c r="M35" i="11"/>
  <c r="K34" i="11"/>
  <c r="J34" i="11"/>
  <c r="G34" i="11"/>
  <c r="R33" i="11"/>
  <c r="Q33" i="11"/>
  <c r="P33" i="11"/>
  <c r="O33" i="11"/>
  <c r="S33" i="11" s="1"/>
  <c r="R32" i="11"/>
  <c r="Q32" i="11"/>
  <c r="P32" i="11"/>
  <c r="O32" i="11"/>
  <c r="S32" i="11" s="1"/>
  <c r="R31" i="11"/>
  <c r="P31" i="11"/>
  <c r="O31" i="11"/>
  <c r="S31" i="11" s="1"/>
  <c r="L31" i="11"/>
  <c r="Q31" i="11" s="1"/>
  <c r="R30" i="11"/>
  <c r="P30" i="11"/>
  <c r="O30" i="11"/>
  <c r="S30" i="11" s="1"/>
  <c r="L30" i="11"/>
  <c r="Q30" i="11" s="1"/>
  <c r="N23" i="11"/>
  <c r="G23" i="11"/>
  <c r="R22" i="11"/>
  <c r="F115" i="11" s="1"/>
  <c r="M22" i="11"/>
  <c r="O22" i="11" s="1"/>
  <c r="S22" i="11" s="1"/>
  <c r="M21" i="11"/>
  <c r="M20" i="11"/>
  <c r="S90" i="11" l="1"/>
  <c r="M23" i="11"/>
  <c r="O23" i="11" s="1"/>
  <c r="S23" i="11" s="1"/>
  <c r="O95" i="11"/>
  <c r="C121" i="11" s="1"/>
  <c r="O35" i="11"/>
  <c r="S35" i="11" s="1"/>
  <c r="C116" i="11" s="1"/>
  <c r="L47" i="11"/>
  <c r="Q47" i="11" s="1"/>
  <c r="O58" i="11"/>
  <c r="S58" i="11" s="1"/>
  <c r="R58" i="11"/>
  <c r="N70" i="11"/>
  <c r="R70" i="11" s="1"/>
  <c r="F119" i="11" s="1"/>
  <c r="O57" i="11"/>
  <c r="S57" i="11" s="1"/>
  <c r="R68" i="11"/>
  <c r="L65" i="11"/>
  <c r="Q65" i="11" s="1"/>
  <c r="J70" i="11"/>
  <c r="Q64" i="11"/>
  <c r="G59" i="11"/>
  <c r="O53" i="11"/>
  <c r="S53" i="11" s="1"/>
  <c r="L34" i="11"/>
  <c r="Q35" i="11" s="1"/>
  <c r="B116" i="11" s="1"/>
  <c r="O64" i="11"/>
  <c r="S64" i="11" s="1"/>
  <c r="R53" i="11"/>
  <c r="P64" i="11"/>
  <c r="L66" i="11"/>
  <c r="Q66" i="11" s="1"/>
  <c r="K70" i="11"/>
  <c r="O47" i="11"/>
  <c r="S47" i="11" s="1"/>
  <c r="C117" i="11" s="1"/>
  <c r="P47" i="11"/>
  <c r="O54" i="11"/>
  <c r="S54" i="11" s="1"/>
  <c r="R35" i="11"/>
  <c r="F116" i="11" s="1"/>
  <c r="J59" i="11"/>
  <c r="L53" i="11"/>
  <c r="Q53" i="11" s="1"/>
  <c r="M59" i="11"/>
  <c r="D117" i="11"/>
  <c r="B117" i="11"/>
  <c r="L56" i="11"/>
  <c r="Q56" i="11" s="1"/>
  <c r="R47" i="11"/>
  <c r="F117" i="11" s="1"/>
  <c r="L55" i="11"/>
  <c r="Q55" i="11" s="1"/>
  <c r="R57" i="11"/>
  <c r="K59" i="11"/>
  <c r="L54" i="11"/>
  <c r="Q54" i="11" s="1"/>
  <c r="O55" i="11"/>
  <c r="S55" i="11" s="1"/>
  <c r="N59" i="11"/>
  <c r="C115" i="11" l="1"/>
  <c r="D116" i="11"/>
  <c r="B119" i="11"/>
  <c r="B118" i="11"/>
  <c r="P70" i="11"/>
  <c r="Q70" i="11" s="1"/>
  <c r="L70" i="11"/>
  <c r="Q59" i="11"/>
  <c r="R59" i="11"/>
  <c r="F118" i="11" s="1"/>
  <c r="O59" i="11"/>
  <c r="L59" i="11"/>
  <c r="P59" i="11"/>
  <c r="D56" i="1" l="1"/>
  <c r="D118" i="11"/>
  <c r="D119" i="11"/>
  <c r="S59" i="11"/>
  <c r="C118" i="11"/>
  <c r="X56" i="1" l="1"/>
  <c r="A56" i="1"/>
  <c r="G56" i="1"/>
  <c r="M67" i="11"/>
  <c r="S67" i="11" l="1"/>
  <c r="O67" i="11"/>
  <c r="M66" i="11"/>
  <c r="O66" i="11" l="1"/>
  <c r="S66" i="11"/>
  <c r="M68" i="11" l="1"/>
  <c r="O68" i="11" s="1"/>
  <c r="S68" i="11" s="1"/>
  <c r="M65" i="11" l="1"/>
  <c r="G70" i="11"/>
  <c r="J29" i="1"/>
  <c r="O65" i="11" l="1"/>
  <c r="S65" i="11" s="1"/>
  <c r="M70" i="11"/>
  <c r="O70" i="11" l="1"/>
  <c r="C119" i="11" s="1"/>
  <c r="S70" i="11"/>
  <c r="Z19" i="1"/>
</calcChain>
</file>

<file path=xl/sharedStrings.xml><?xml version="1.0" encoding="utf-8"?>
<sst xmlns="http://schemas.openxmlformats.org/spreadsheetml/2006/main" count="729" uniqueCount="233">
  <si>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</si>
  <si>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</si>
  <si>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</si>
  <si>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</si>
  <si>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</si>
  <si>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</si>
  <si>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</si>
  <si>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</si>
  <si>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</si>
  <si>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PROEDUC V</t>
  </si>
  <si>
    <t>Código Presupuesto:</t>
  </si>
  <si>
    <t>52-0505-0013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</si>
  <si>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</si>
  <si>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</si>
  <si>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</si>
  <si>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</si>
  <si>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</si>
  <si>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</si>
  <si>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</si>
  <si>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Componente 1</t>
  </si>
  <si>
    <t>Inicial</t>
  </si>
  <si>
    <t>Vigente</t>
  </si>
  <si>
    <t>Ejecutado</t>
  </si>
  <si>
    <t>% Ejecución</t>
  </si>
  <si>
    <t>Acceso a la Educación técnica</t>
  </si>
  <si>
    <t>Construcción, ampliación y mejoramiento de infraestructura educativa del ciclo diversificado</t>
  </si>
  <si>
    <t>Mts. Cuadrados</t>
  </si>
  <si>
    <t xml:space="preserve">REPORTE SICOIN/POA </t>
  </si>
  <si>
    <t>Institutos tecnológicos dotados con equipamiento y mobiliario escolar</t>
  </si>
  <si>
    <t>Entidad</t>
  </si>
  <si>
    <t>Centros escolares del nivel medio ciclo diversificado rehabilitados</t>
  </si>
  <si>
    <t>Componente 2</t>
  </si>
  <si>
    <t>Diseño e implementación curricular</t>
  </si>
  <si>
    <t>Implementación curricular</t>
  </si>
  <si>
    <t>N/A</t>
  </si>
  <si>
    <t xml:space="preserve">Componente </t>
  </si>
  <si>
    <t>Fortalecimiento institucional</t>
  </si>
  <si>
    <t>Imprevistos</t>
  </si>
  <si>
    <t>Varios</t>
  </si>
  <si>
    <t>Consultoría Internacional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</si>
  <si>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</si>
  <si>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</si>
  <si>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</si>
  <si>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</si>
  <si>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</si>
  <si>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</si>
  <si>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</si>
  <si>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</si>
  <si>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</si>
  <si>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</si>
  <si>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Construcción, ampliación y mejoramiento de infraestructura educaiva del ciclo diversificado</t>
  </si>
  <si>
    <t xml:space="preserve">POA/REPORTE SICOIN </t>
  </si>
  <si>
    <t>IV. BALANCE DE LA GESTIÓN</t>
  </si>
  <si>
    <t>Recuento comparativo</t>
  </si>
  <si>
    <t>IV.2  Valoración Balance</t>
  </si>
  <si>
    <t>IV.1  GESTIÓN MES ANTERIOR</t>
  </si>
  <si>
    <t xml:space="preserve">EJECUCIÓN FISICA </t>
  </si>
  <si>
    <t>EJECUCIÓN FINANCIERA</t>
  </si>
  <si>
    <t>Variación % Física</t>
  </si>
  <si>
    <t>Variación % Fínanciera</t>
  </si>
  <si>
    <t>IV. 3  Alertivos</t>
  </si>
  <si>
    <t>IV. 2  GESTIÓN AL MES</t>
  </si>
  <si>
    <t>* Indicar cualquier variación a la meta en el año.</t>
  </si>
  <si>
    <t>V. AVANCE ACUMULADO TOTAL DEL PRÉSTAMO</t>
  </si>
  <si>
    <t>EJECUCIÓN FISICA TOTAL</t>
  </si>
  <si>
    <t>EJECUCIÓN FINANCIERA TOTAL</t>
  </si>
  <si>
    <t>% DE EJECUCIÓN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</si>
  <si>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</si>
  <si>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</si>
  <si>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</si>
  <si>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</si>
  <si>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</si>
  <si>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</si>
  <si>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</si>
  <si>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</si>
  <si>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</si>
  <si>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</si>
  <si>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</si>
  <si>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</si>
  <si>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</si>
  <si>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</si>
  <si>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</si>
  <si>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</si>
  <si>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</si>
  <si>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</si>
  <si>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</si>
  <si>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</si>
  <si>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</si>
  <si>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</si>
  <si>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Anual*</t>
  </si>
  <si>
    <t>Ejecutado Anual</t>
  </si>
  <si>
    <t>% Ejecución Anual</t>
  </si>
  <si>
    <t>Ejecutado Acumulado</t>
  </si>
  <si>
    <t>% Ejecución **</t>
  </si>
  <si>
    <t>Ejecutado Acumulado Global</t>
  </si>
  <si>
    <t>Componente 1: Acceso a educación Técnica</t>
  </si>
  <si>
    <t>Infraestructura física</t>
  </si>
  <si>
    <t>Construccion, ampliacion y mejoramiento de infraestructura educativa del civlo diversificado</t>
  </si>
  <si>
    <t>Establecimientos</t>
  </si>
  <si>
    <t>Equipamiento</t>
  </si>
  <si>
    <t>Equipamiento de centros educativos a nivel diversificado</t>
  </si>
  <si>
    <t>Consultoría internacional</t>
  </si>
  <si>
    <t>Componente 1 Acceso a educación técnica</t>
  </si>
  <si>
    <t>Centros escolares del nivel medio ciclo Diversificado, reparados, remozados</t>
  </si>
  <si>
    <t>Construccion, ampliacion y mejoramiento de infraestructura educativa del ciclo diversificado</t>
  </si>
  <si>
    <t>Componente 1 Acceso a educacion técnica</t>
  </si>
  <si>
    <r>
      <rPr>
        <b/>
        <sz val="20"/>
        <color theme="1"/>
        <rFont val="Calibri"/>
        <family val="2"/>
        <scheme val="minor"/>
      </rPr>
      <t>Componente 2</t>
    </r>
    <r>
      <rPr>
        <sz val="20"/>
        <color theme="1"/>
        <rFont val="Calibri"/>
        <family val="2"/>
        <scheme val="minor"/>
      </rPr>
      <t xml:space="preserve"> Diseño e implementación Curricular</t>
    </r>
  </si>
  <si>
    <t>Diseño y desarrollo de materiales curriculares</t>
  </si>
  <si>
    <t>Evento</t>
  </si>
  <si>
    <t>M/A</t>
  </si>
  <si>
    <r>
      <rPr>
        <b/>
        <sz val="20"/>
        <color theme="1"/>
        <rFont val="Calibri"/>
        <family val="2"/>
        <scheme val="minor"/>
      </rPr>
      <t>Componente 1 Acceso a educación técnica</t>
    </r>
    <r>
      <rPr>
        <sz val="20"/>
        <color theme="1"/>
        <rFont val="Calibri"/>
        <family val="2"/>
        <scheme val="minor"/>
      </rPr>
      <t xml:space="preserve"> Infraestructura física</t>
    </r>
  </si>
  <si>
    <t xml:space="preserve">Consultoría Internacional </t>
  </si>
  <si>
    <t>TOTAL</t>
  </si>
  <si>
    <t>Unidad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</si>
  <si>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</si>
  <si>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</si>
  <si>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</si>
  <si>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</si>
  <si>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</si>
  <si>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</si>
  <si>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Total</t>
  </si>
  <si>
    <t>Sección 3. - Informe de Avance Físico, Financiero - Principales Inversiones</t>
  </si>
  <si>
    <t>ENERO</t>
  </si>
  <si>
    <t>1113-0008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</si>
  <si>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</si>
  <si>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</si>
  <si>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</si>
  <si>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</si>
  <si>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</si>
  <si>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</si>
  <si>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</si>
  <si>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</si>
  <si>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</si>
  <si>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</si>
  <si>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</si>
  <si>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Acceso a la educación técnica</t>
  </si>
  <si>
    <t>REHABILITACIÓN DEL INEBE UBICADO EN EL MUNICIPIO DE JALAPA, JALAPA</t>
  </si>
  <si>
    <t>Concluído</t>
  </si>
  <si>
    <t xml:space="preserve">REHABILITACIÓN DEL INSTITUTO NACIONAL DE EDUCACIÓN DIVERSIFICADA, MUNICIPIO DE SAN ANDRÉS SAJCABAJÁ, QUICHÉ </t>
  </si>
  <si>
    <t>CONSTRUCCIÓN DEL INSTITUTO NACIONAL DE EDUCACIÓN DIVERSIFICADA, UBICADO EN EL CANTÓN SAN SEBASTIAN, MUNICIPIO DE JACALTENANGO, HUEHUETENANGO.</t>
  </si>
  <si>
    <t>225120, 225122</t>
  </si>
  <si>
    <t>CONSTRUCCIÓN DEL INSTITUTO NACIONAL DE EDUCACIÓN DIVERSIFICADA, UBICADO EN LA ALDEA EL PINALITO, MUNICIPIO DE SAN PEDRO PINULA, DEPARTAMENTO DE JALAPA</t>
  </si>
  <si>
    <t>Construcción Instituto Diversificado municipio de Nebaj, Quiché</t>
  </si>
  <si>
    <t>El contrato fue rescindido con fecha 4/10/2023</t>
  </si>
  <si>
    <t>Construcción Instituto Diversificado municipio de Jacaltenango, Huehuetenango</t>
  </si>
  <si>
    <t xml:space="preserve">El contrato se encuentra recepcionado y liquidado </t>
  </si>
  <si>
    <t>Construcción Instituto Diversificado municipio de San Pedro Pinula, Jalapa</t>
  </si>
  <si>
    <t xml:space="preserve">Rehabilitación del INEB, ubicado en el municipio de Santa Cruz Barrillas, departamento de Huehuetenango. </t>
  </si>
  <si>
    <t xml:space="preserve">Rehabilitación de la EOM regional, ubicada en el Caserío La Cruz Regional, Cuilco, departamento de Huehuetenango. </t>
  </si>
  <si>
    <t xml:space="preserve">Rehabilitación de, INEBE con Orientación Ocupacional, Dr. Silvano Antonio Carias Recinos,  municipio de Jalapa, Jalapa. </t>
  </si>
  <si>
    <t>Rehabilitación del Instituto Nacional de Educación Diversificada, municipio de San Andrés Sajcabajá, Quiché</t>
  </si>
  <si>
    <t xml:space="preserve">
Licitación Pública Nacional No. LPN-KfW-PROEDUC V-BNS-01-2023 Adquisición de equipamiento para Taller de construcción para un (1) Instituto Tecnológico.</t>
  </si>
  <si>
    <t>Adquisición de equipamiento para taller de procesamiento de alimentos productos lácteos, taller de procesamiento de frutas y vegetales y taller de cocina y gastronomía. LICITACIÓN PÚBLICA INTERNACIONAL No: LPI-KFW-PROEDUC V-BNS-02-2023</t>
  </si>
  <si>
    <t>Licitación Pública Internacional No. LPI-KfW-PROEDUC V-BNS-01-2023 Adquisición de equipamiento para talleres de mecánica diésel para dos (2) Institutos Tecnológicos.</t>
  </si>
  <si>
    <t>Licitación Pública Internacional No. LPI-KfW-PROEDUC V-BNS-03-2023 Adquisición de equipo y mobiliario para Laboratorios de Física, Química y Biología para centros educativos.</t>
  </si>
  <si>
    <t>FECHA ÚLTIMA ADJUDICACIÓN 08/03/2024</t>
  </si>
  <si>
    <t>Licitación Pública Internacional No. LPI-KfW-PROEDUC V-BNS-04-2023 Adquisición de equipo para laboratorios de cómputo para dos (2) Institutos Tecnológicos del Nivel Diversificado</t>
  </si>
  <si>
    <t>FECHA ÚLTIMA ADJUDICACIÓN 14/02/2024</t>
  </si>
  <si>
    <t>Licitación Pública Nacional No. LPN-KfW-PROEDUC V-BNS-03-2023 Adquisición de equipo para laboratorios de cómputo para tres (3) Institutos del Nivel Diversificado</t>
  </si>
  <si>
    <t>Adquisicion de equipo para Laboratorios de fisica, quimica y biologia para siete (7) Centros Educativos, ubicados en Alta Verapaz, Chiquimula, Huehuetenango, Jalapa y Quiche</t>
  </si>
  <si>
    <t>FECHA ÚLTIMA ADJUDICACIÓN 23/08/2024</t>
  </si>
  <si>
    <t>Adquisicion de equipo de Computo para Laboratorios de centros educativos del nivel diversificado</t>
  </si>
  <si>
    <t>Adquisicion de equipo para Talleres especializados en Mecanica para centros educativos del nivel diversificado</t>
  </si>
  <si>
    <t>FECHA ÚLTIMA ADJUDICACIÓN 28/01/2025</t>
  </si>
  <si>
    <t>Adquisicion de equipo para Laboratorios de fisica, quimica y biologia / Talleres de ciencias biologicas para Centros Educativos del nivel diversificado</t>
  </si>
  <si>
    <t>FECHA ÚLTIMA ADJUDICACIÓN 27/12/2024</t>
  </si>
  <si>
    <t>Adquisicion de equipo para Talleres especializados en Construccion para centros educativos del nivel diversificado</t>
  </si>
  <si>
    <t>FECHA ÚLTIMA ADJUDICACIÓN 04/02/2025</t>
  </si>
  <si>
    <t>INTEGRACIÓN DE PRESUPUESTO INCLUIDA EN EL INFORME</t>
  </si>
  <si>
    <t>Construcción, ampliación y mejoramiento de Infraestructura educativa del ciclo diversificado</t>
  </si>
  <si>
    <t>EJECUTADO</t>
  </si>
  <si>
    <t>Renglon 332</t>
  </si>
  <si>
    <t>Renglon 188</t>
  </si>
  <si>
    <t>Centros escolares del nivel medio diversificado rehabilitados</t>
  </si>
  <si>
    <t>Monto</t>
  </si>
  <si>
    <t>01</t>
  </si>
  <si>
    <t>Renglon 171</t>
  </si>
  <si>
    <t>Institutos tecnológicos dotados con equipmeinto y mobiliario escolar</t>
  </si>
  <si>
    <t>05</t>
  </si>
  <si>
    <t>Renglon 122</t>
  </si>
  <si>
    <t>Renglon 158</t>
  </si>
  <si>
    <t>Renglon 184</t>
  </si>
  <si>
    <t>Renglon 239</t>
  </si>
  <si>
    <t>Renglon 252</t>
  </si>
  <si>
    <t>Renglon 254</t>
  </si>
  <si>
    <t>Renglon 261</t>
  </si>
  <si>
    <t>Renglon 268</t>
  </si>
  <si>
    <t>Renglon 272</t>
  </si>
  <si>
    <t>Renglon 283</t>
  </si>
  <si>
    <t>Renglon 286</t>
  </si>
  <si>
    <t>Renglon 289</t>
  </si>
  <si>
    <t>Renglon 291</t>
  </si>
  <si>
    <t>Renglon 292</t>
  </si>
  <si>
    <t>Renglon 293</t>
  </si>
  <si>
    <t>Renglon 294</t>
  </si>
  <si>
    <t>Renglon 295</t>
  </si>
  <si>
    <t>Renglon 296</t>
  </si>
  <si>
    <t>Renglon 297</t>
  </si>
  <si>
    <t>Renglon 298</t>
  </si>
  <si>
    <t>Renglon 299</t>
  </si>
  <si>
    <t>Renglon 321</t>
  </si>
  <si>
    <t>Renglon 322</t>
  </si>
  <si>
    <t>Renglon 323</t>
  </si>
  <si>
    <t>Renglon 324</t>
  </si>
  <si>
    <t>Renglon 326</t>
  </si>
  <si>
    <t>Renglon 328</t>
  </si>
  <si>
    <t>Renglon 329</t>
  </si>
  <si>
    <t>Renglon 121</t>
  </si>
  <si>
    <t xml:space="preserve"> IMPLEMENTACIÓN CURRICULAR </t>
  </si>
  <si>
    <t xml:space="preserve"> RENGLON 185</t>
  </si>
  <si>
    <t xml:space="preserve"> RENGLON 122</t>
  </si>
  <si>
    <t xml:space="preserve"> RENGLON 189</t>
  </si>
  <si>
    <t>189   Consultoría Internacional</t>
  </si>
  <si>
    <t>Renglon 174</t>
  </si>
  <si>
    <t>Adquisicion de equipo para Talleres especializados en Electricidad para 7 Centros Educativos del nivel diversificado</t>
  </si>
  <si>
    <t xml:space="preserve">Adquisición de 3 generadores de energía eléctrica para 3 Centros Educativos del Nivel Diversificado </t>
  </si>
  <si>
    <t>Adquisición de Licencias de Software para los Institutos Tecnológicos ubicandos en Jacaltenango, Huehuetenango y San Pedro Pinula, Jalapa.</t>
  </si>
  <si>
    <t>FECHA ÚLTIMA ADJUDICACIÓN 05/02/2025</t>
  </si>
  <si>
    <t xml:space="preserve"> </t>
  </si>
  <si>
    <t>Renglon 186</t>
  </si>
  <si>
    <t>Renglon 181</t>
  </si>
  <si>
    <t>MECANICA</t>
  </si>
  <si>
    <t>OCTUBRE</t>
  </si>
  <si>
    <t xml:space="preserve">LICENCIAS </t>
  </si>
  <si>
    <t xml:space="preserve">CONSTRUCCION </t>
  </si>
  <si>
    <t xml:space="preserve">FECHA PAGO </t>
  </si>
  <si>
    <t xml:space="preserve">EVENTO </t>
  </si>
  <si>
    <t xml:space="preserve">MONTO </t>
  </si>
  <si>
    <t>EL AVANCE FÍSICO Y FINANCIERO PRESENTADO EN ESTE INFORME, COMPRENDE EL PAGO DE LOS CONTRATOS DE LICENCIAS DE SOFTWARE PARA 53 CENTROS EDUCATIVOS DEL NIVEL DIVERSIFICADO  Y EQUIPO PARA TALLERES ESPECIALIZADOS EN CONSTRUCCIÓN PARA TRES CENTROS EDUCATIVOS DEL NIVEL DIVERSIFICADO</t>
  </si>
  <si>
    <t xml:space="preserve">Fortalecimiento Institucional 
</t>
  </si>
  <si>
    <t xml:space="preserve">Infraestructura de dirección departamental </t>
  </si>
  <si>
    <t xml:space="preserve">Adquisición de mobiliario y equipamiento de siete Direcciones Departamentales </t>
  </si>
  <si>
    <t xml:space="preserve">El contrato se encuentra en ejecución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</si>
</sst>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00000%"/>
    <numFmt numFmtId="167" formatCode="_-[$Q-100A]* #,##0.00_-;\-[$Q-100A]* #,##0.00_-;_-[$Q-100A]* &quot;-&quot;??_-;_-@_-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/>
    <xf numFmtId="0" fontId="1" fillId="0" borderId="2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3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9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7" fillId="5" borderId="3" xfId="0" applyFont="1" applyFill="1" applyBorder="1"/>
    <xf numFmtId="0" fontId="7" fillId="5" borderId="7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7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6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6" fillId="8" borderId="27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164" fontId="16" fillId="10" borderId="13" xfId="1" applyFont="1" applyFill="1" applyBorder="1" applyAlignment="1">
      <alignment vertical="center"/>
    </xf>
    <xf numFmtId="0" fontId="1" fillId="10" borderId="20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0" fontId="14" fillId="9" borderId="0" xfId="0" applyNumberFormat="1" applyFont="1" applyFill="1"/>
    <xf numFmtId="10" fontId="15" fillId="0" borderId="0" xfId="0" applyNumberFormat="1" applyFont="1"/>
    <xf numFmtId="0" fontId="22" fillId="0" borderId="13" xfId="0" applyFont="1" applyBorder="1"/>
    <xf numFmtId="0" fontId="23" fillId="8" borderId="7" xfId="0" applyFont="1" applyFill="1" applyBorder="1" applyAlignment="1">
      <alignment horizontal="center" vertical="top"/>
    </xf>
    <xf numFmtId="0" fontId="8" fillId="0" borderId="57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58" xfId="0" applyFont="1" applyBorder="1" applyAlignment="1">
      <alignment wrapText="1"/>
    </xf>
    <xf numFmtId="0" fontId="8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wrapText="1"/>
    </xf>
    <xf numFmtId="0" fontId="26" fillId="0" borderId="4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9" xfId="0" applyFont="1" applyBorder="1" applyAlignment="1">
      <alignment horizontal="right" vertical="top"/>
    </xf>
    <xf numFmtId="0" fontId="6" fillId="0" borderId="51" xfId="0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21" fillId="8" borderId="42" xfId="0" applyFont="1" applyFill="1" applyBorder="1" applyAlignment="1">
      <alignment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63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164" fontId="16" fillId="0" borderId="17" xfId="1" applyFont="1" applyFill="1" applyBorder="1" applyAlignment="1">
      <alignment horizontal="center" vertical="center"/>
    </xf>
    <xf numFmtId="164" fontId="16" fillId="11" borderId="8" xfId="0" applyNumberFormat="1" applyFont="1" applyFill="1" applyBorder="1" applyAlignment="1">
      <alignment horizontal="center" vertical="center"/>
    </xf>
    <xf numFmtId="10" fontId="16" fillId="11" borderId="6" xfId="2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1" fillId="11" borderId="4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4" fontId="1" fillId="0" borderId="21" xfId="1" applyFont="1" applyFill="1" applyBorder="1" applyAlignment="1">
      <alignment horizontal="center" vertical="center"/>
    </xf>
    <xf numFmtId="164" fontId="1" fillId="11" borderId="68" xfId="0" applyNumberFormat="1" applyFont="1" applyFill="1" applyBorder="1" applyAlignment="1">
      <alignment horizontal="center" vertical="center"/>
    </xf>
    <xf numFmtId="10" fontId="16" fillId="0" borderId="19" xfId="2" applyNumberFormat="1" applyFont="1" applyBorder="1" applyAlignment="1"/>
    <xf numFmtId="10" fontId="16" fillId="0" borderId="20" xfId="2" applyNumberFormat="1" applyFont="1" applyBorder="1" applyAlignment="1"/>
    <xf numFmtId="10" fontId="16" fillId="0" borderId="21" xfId="2" applyNumberFormat="1" applyFont="1" applyBorder="1" applyAlignment="1"/>
    <xf numFmtId="0" fontId="13" fillId="0" borderId="15" xfId="0" applyFont="1" applyBorder="1" applyAlignment="1">
      <alignment wrapText="1"/>
    </xf>
    <xf numFmtId="0" fontId="8" fillId="5" borderId="0" xfId="0" applyFont="1" applyFill="1" applyAlignment="1">
      <alignment vertical="center"/>
    </xf>
    <xf numFmtId="164" fontId="13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5" fillId="0" borderId="13" xfId="0" applyNumberFormat="1" applyFont="1" applyBorder="1" applyAlignment="1">
      <alignment horizontal="right"/>
    </xf>
    <xf numFmtId="10" fontId="2" fillId="5" borderId="0" xfId="0" applyNumberFormat="1" applyFont="1" applyFill="1"/>
    <xf numFmtId="14" fontId="28" fillId="12" borderId="0" xfId="0" applyNumberFormat="1" applyFont="1" applyFill="1"/>
    <xf numFmtId="0" fontId="1" fillId="8" borderId="7" xfId="0" applyFont="1" applyFill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1" borderId="3" xfId="2" applyNumberFormat="1" applyFont="1" applyFill="1" applyBorder="1" applyAlignment="1">
      <alignment horizontal="center" vertical="center"/>
    </xf>
    <xf numFmtId="10" fontId="16" fillId="0" borderId="16" xfId="2" applyNumberFormat="1" applyFont="1" applyBorder="1" applyAlignment="1">
      <alignment vertical="center"/>
    </xf>
    <xf numFmtId="10" fontId="16" fillId="0" borderId="1" xfId="2" applyNumberFormat="1" applyFont="1" applyBorder="1" applyAlignment="1">
      <alignment vertical="center"/>
    </xf>
    <xf numFmtId="10" fontId="16" fillId="0" borderId="18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8" borderId="55" xfId="0" applyNumberFormat="1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5" fontId="16" fillId="10" borderId="6" xfId="2" applyNumberFormat="1" applyFont="1" applyFill="1" applyBorder="1" applyAlignment="1">
      <alignment horizontal="center" vertical="center"/>
    </xf>
    <xf numFmtId="10" fontId="16" fillId="0" borderId="25" xfId="2" applyNumberFormat="1" applyFont="1" applyBorder="1" applyAlignment="1">
      <alignment vertical="center"/>
    </xf>
    <xf numFmtId="10" fontId="16" fillId="0" borderId="13" xfId="2" applyNumberFormat="1" applyFont="1" applyBorder="1" applyAlignment="1">
      <alignment vertical="center"/>
    </xf>
    <xf numFmtId="10" fontId="16" fillId="0" borderId="17" xfId="2" applyNumberFormat="1" applyFont="1" applyBorder="1" applyAlignment="1">
      <alignment vertical="center"/>
    </xf>
    <xf numFmtId="10" fontId="16" fillId="9" borderId="0" xfId="0" applyNumberFormat="1" applyFont="1" applyFill="1" applyAlignment="1">
      <alignment vertical="center"/>
    </xf>
    <xf numFmtId="4" fontId="1" fillId="8" borderId="16" xfId="0" applyNumberFormat="1" applyFont="1" applyFill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right" vertical="center"/>
    </xf>
    <xf numFmtId="10" fontId="1" fillId="10" borderId="3" xfId="2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0" fontId="14" fillId="9" borderId="0" xfId="0" applyNumberFormat="1" applyFont="1" applyFill="1" applyAlignment="1">
      <alignment vertical="center"/>
    </xf>
    <xf numFmtId="3" fontId="1" fillId="8" borderId="27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10" fontId="1" fillId="10" borderId="6" xfId="2" applyNumberFormat="1" applyFont="1" applyFill="1" applyBorder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4" fontId="1" fillId="10" borderId="20" xfId="0" applyNumberFormat="1" applyFont="1" applyFill="1" applyBorder="1" applyAlignment="1">
      <alignment horizontal="center"/>
    </xf>
    <xf numFmtId="9" fontId="1" fillId="10" borderId="51" xfId="2" applyFont="1" applyFill="1" applyBorder="1" applyAlignment="1">
      <alignment horizontal="center"/>
    </xf>
    <xf numFmtId="0" fontId="16" fillId="0" borderId="43" xfId="0" applyFont="1" applyBorder="1" applyAlignment="1">
      <alignment wrapText="1"/>
    </xf>
    <xf numFmtId="10" fontId="16" fillId="0" borderId="43" xfId="0" applyNumberFormat="1" applyFont="1" applyBorder="1" applyAlignment="1">
      <alignment wrapText="1"/>
    </xf>
    <xf numFmtId="4" fontId="16" fillId="0" borderId="43" xfId="0" applyNumberFormat="1" applyFont="1" applyBorder="1" applyAlignment="1">
      <alignment wrapText="1"/>
    </xf>
    <xf numFmtId="0" fontId="16" fillId="0" borderId="48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10" fontId="1" fillId="0" borderId="18" xfId="2" applyNumberFormat="1" applyFont="1" applyFill="1" applyBorder="1" applyAlignment="1">
      <alignment horizontal="center" vertical="center"/>
    </xf>
    <xf numFmtId="164" fontId="16" fillId="0" borderId="43" xfId="0" applyNumberFormat="1" applyFont="1" applyBorder="1" applyAlignment="1">
      <alignment wrapText="1"/>
    </xf>
    <xf numFmtId="10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10" borderId="14" xfId="0" applyFont="1" applyFill="1" applyBorder="1"/>
    <xf numFmtId="0" fontId="1" fillId="10" borderId="11" xfId="0" applyFont="1" applyFill="1" applyBorder="1"/>
    <xf numFmtId="0" fontId="1" fillId="10" borderId="2" xfId="0" applyFont="1" applyFill="1" applyBorder="1"/>
    <xf numFmtId="0" fontId="1" fillId="10" borderId="12" xfId="0" applyFont="1" applyFill="1" applyBorder="1"/>
    <xf numFmtId="0" fontId="1" fillId="10" borderId="1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164" fontId="15" fillId="0" borderId="13" xfId="0" applyNumberFormat="1" applyFont="1" applyBorder="1"/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top"/>
    </xf>
    <xf numFmtId="0" fontId="31" fillId="0" borderId="1" xfId="0" applyFont="1" applyBorder="1" applyAlignment="1">
      <alignment vertical="center"/>
    </xf>
    <xf numFmtId="0" fontId="29" fillId="8" borderId="5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top"/>
    </xf>
    <xf numFmtId="0" fontId="29" fillId="8" borderId="27" xfId="0" applyFont="1" applyFill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0" fontId="29" fillId="0" borderId="17" xfId="0" applyNumberFormat="1" applyFont="1" applyBorder="1" applyAlignment="1">
      <alignment horizontal="center" vertical="center"/>
    </xf>
    <xf numFmtId="164" fontId="29" fillId="10" borderId="13" xfId="1" applyFont="1" applyFill="1" applyBorder="1" applyAlignment="1">
      <alignment vertical="center"/>
    </xf>
    <xf numFmtId="164" fontId="29" fillId="10" borderId="13" xfId="1" applyFont="1" applyFill="1" applyBorder="1" applyAlignment="1"/>
    <xf numFmtId="165" fontId="29" fillId="10" borderId="6" xfId="2" applyNumberFormat="1" applyFont="1" applyFill="1" applyBorder="1" applyAlignment="1"/>
    <xf numFmtId="164" fontId="29" fillId="0" borderId="17" xfId="1" applyFont="1" applyFill="1" applyBorder="1" applyAlignment="1">
      <alignment horizontal="center" vertical="center"/>
    </xf>
    <xf numFmtId="164" fontId="29" fillId="11" borderId="8" xfId="0" applyNumberFormat="1" applyFont="1" applyFill="1" applyBorder="1" applyAlignment="1">
      <alignment horizontal="center" vertical="center"/>
    </xf>
    <xf numFmtId="10" fontId="29" fillId="11" borderId="6" xfId="2" applyNumberFormat="1" applyFont="1" applyFill="1" applyBorder="1" applyAlignment="1">
      <alignment horizontal="center" vertical="center"/>
    </xf>
    <xf numFmtId="10" fontId="29" fillId="0" borderId="25" xfId="2" applyNumberFormat="1" applyFont="1" applyBorder="1" applyAlignment="1"/>
    <xf numFmtId="10" fontId="29" fillId="0" borderId="13" xfId="2" applyNumberFormat="1" applyFont="1" applyBorder="1" applyAlignment="1"/>
    <xf numFmtId="10" fontId="29" fillId="0" borderId="17" xfId="2" applyNumberFormat="1" applyFont="1" applyBorder="1" applyAlignment="1"/>
    <xf numFmtId="0" fontId="30" fillId="0" borderId="0" xfId="0" applyFont="1"/>
    <xf numFmtId="0" fontId="30" fillId="8" borderId="55" xfId="0" applyFont="1" applyFill="1" applyBorder="1" applyAlignment="1">
      <alignment vertical="center" wrapText="1"/>
    </xf>
    <xf numFmtId="0" fontId="30" fillId="8" borderId="7" xfId="0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/>
    </xf>
    <xf numFmtId="4" fontId="30" fillId="8" borderId="16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4" fontId="30" fillId="10" borderId="1" xfId="0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0" fontId="30" fillId="10" borderId="3" xfId="2" applyNumberFormat="1" applyFont="1" applyFill="1" applyBorder="1" applyAlignment="1">
      <alignment horizontal="center" vertical="center"/>
    </xf>
    <xf numFmtId="9" fontId="30" fillId="0" borderId="18" xfId="2" applyFont="1" applyFill="1" applyBorder="1" applyAlignment="1">
      <alignment horizontal="center" vertical="center"/>
    </xf>
    <xf numFmtId="164" fontId="30" fillId="11" borderId="4" xfId="0" applyNumberFormat="1" applyFont="1" applyFill="1" applyBorder="1" applyAlignment="1">
      <alignment horizontal="center" vertical="center"/>
    </xf>
    <xf numFmtId="9" fontId="30" fillId="11" borderId="3" xfId="2" applyFont="1" applyFill="1" applyBorder="1" applyAlignment="1">
      <alignment horizontal="center" vertical="center"/>
    </xf>
    <xf numFmtId="10" fontId="29" fillId="0" borderId="16" xfId="2" applyNumberFormat="1" applyFont="1" applyBorder="1" applyAlignment="1">
      <alignment vertical="center"/>
    </xf>
    <xf numFmtId="10" fontId="29" fillId="0" borderId="1" xfId="2" applyNumberFormat="1" applyFont="1" applyBorder="1" applyAlignment="1">
      <alignment vertical="center"/>
    </xf>
    <xf numFmtId="10" fontId="29" fillId="0" borderId="18" xfId="2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8" borderId="28" xfId="0" applyFont="1" applyFill="1" applyBorder="1" applyAlignment="1">
      <alignment vertical="center" wrapText="1"/>
    </xf>
    <xf numFmtId="0" fontId="29" fillId="8" borderId="27" xfId="0" applyFont="1" applyFill="1" applyBorder="1" applyAlignment="1">
      <alignment vertical="center" wrapText="1"/>
    </xf>
    <xf numFmtId="3" fontId="1" fillId="0" borderId="4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164" fontId="1" fillId="11" borderId="16" xfId="0" applyNumberFormat="1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vertical="center" wrapText="1"/>
    </xf>
    <xf numFmtId="0" fontId="23" fillId="8" borderId="28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10" fontId="15" fillId="0" borderId="3" xfId="2" applyNumberFormat="1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vertical="center" wrapText="1"/>
    </xf>
    <xf numFmtId="0" fontId="32" fillId="8" borderId="5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0" fontId="32" fillId="0" borderId="17" xfId="0" applyNumberFormat="1" applyFont="1" applyBorder="1" applyAlignment="1">
      <alignment horizontal="center" vertical="center"/>
    </xf>
    <xf numFmtId="164" fontId="32" fillId="10" borderId="13" xfId="1" applyFont="1" applyFill="1" applyBorder="1" applyAlignment="1">
      <alignment vertical="center"/>
    </xf>
    <xf numFmtId="165" fontId="32" fillId="10" borderId="6" xfId="2" applyNumberFormat="1" applyFont="1" applyFill="1" applyBorder="1" applyAlignment="1">
      <alignment horizontal="center" vertical="center"/>
    </xf>
    <xf numFmtId="164" fontId="32" fillId="0" borderId="17" xfId="1" applyFont="1" applyFill="1" applyBorder="1" applyAlignment="1">
      <alignment horizontal="center" vertical="center"/>
    </xf>
    <xf numFmtId="164" fontId="32" fillId="11" borderId="8" xfId="0" applyNumberFormat="1" applyFont="1" applyFill="1" applyBorder="1" applyAlignment="1">
      <alignment horizontal="center" vertical="center"/>
    </xf>
    <xf numFmtId="10" fontId="32" fillId="11" borderId="6" xfId="2" applyNumberFormat="1" applyFont="1" applyFill="1" applyBorder="1" applyAlignment="1">
      <alignment horizontal="center" vertical="center"/>
    </xf>
    <xf numFmtId="10" fontId="32" fillId="0" borderId="25" xfId="2" applyNumberFormat="1" applyFont="1" applyBorder="1" applyAlignment="1">
      <alignment vertical="center"/>
    </xf>
    <xf numFmtId="10" fontId="32" fillId="0" borderId="13" xfId="2" applyNumberFormat="1" applyFont="1" applyBorder="1" applyAlignment="1">
      <alignment vertical="center"/>
    </xf>
    <xf numFmtId="10" fontId="32" fillId="0" borderId="17" xfId="2" applyNumberFormat="1" applyFont="1" applyBorder="1" applyAlignment="1">
      <alignment vertical="center"/>
    </xf>
    <xf numFmtId="10" fontId="32" fillId="0" borderId="0" xfId="0" applyNumberFormat="1" applyFont="1"/>
    <xf numFmtId="0" fontId="18" fillId="0" borderId="0" xfId="0" applyFont="1"/>
    <xf numFmtId="0" fontId="18" fillId="8" borderId="7" xfId="0" applyFont="1" applyFill="1" applyBorder="1" applyAlignment="1">
      <alignment horizontal="center" vertical="center"/>
    </xf>
    <xf numFmtId="3" fontId="18" fillId="8" borderId="55" xfId="0" applyNumberFormat="1" applyFont="1" applyFill="1" applyBorder="1" applyAlignment="1">
      <alignment horizontal="center" vertical="center"/>
    </xf>
    <xf numFmtId="4" fontId="18" fillId="8" borderId="16" xfId="0" applyNumberFormat="1" applyFont="1" applyFill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4" fontId="18" fillId="10" borderId="1" xfId="0" applyNumberFormat="1" applyFont="1" applyFill="1" applyBorder="1" applyAlignment="1">
      <alignment horizontal="right" vertical="center"/>
    </xf>
    <xf numFmtId="10" fontId="18" fillId="10" borderId="3" xfId="2" applyNumberFormat="1" applyFont="1" applyFill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10" fontId="32" fillId="0" borderId="18" xfId="2" applyNumberFormat="1" applyFont="1" applyFill="1" applyBorder="1" applyAlignment="1">
      <alignment horizontal="center" vertical="center"/>
    </xf>
    <xf numFmtId="164" fontId="18" fillId="11" borderId="4" xfId="0" applyNumberFormat="1" applyFont="1" applyFill="1" applyBorder="1" applyAlignment="1">
      <alignment horizontal="center" vertical="center"/>
    </xf>
    <xf numFmtId="10" fontId="18" fillId="11" borderId="3" xfId="2" applyNumberFormat="1" applyFont="1" applyFill="1" applyBorder="1" applyAlignment="1">
      <alignment horizontal="center" vertical="center"/>
    </xf>
    <xf numFmtId="10" fontId="32" fillId="0" borderId="16" xfId="2" applyNumberFormat="1" applyFont="1" applyBorder="1" applyAlignment="1">
      <alignment vertical="center"/>
    </xf>
    <xf numFmtId="10" fontId="32" fillId="0" borderId="1" xfId="2" applyNumberFormat="1" applyFont="1" applyBorder="1" applyAlignment="1">
      <alignment vertical="center"/>
    </xf>
    <xf numFmtId="10" fontId="32" fillId="0" borderId="18" xfId="2" applyNumberFormat="1" applyFont="1" applyBorder="1" applyAlignment="1">
      <alignment vertical="center"/>
    </xf>
    <xf numFmtId="0" fontId="18" fillId="8" borderId="75" xfId="0" applyFont="1" applyFill="1" applyBorder="1" applyAlignment="1">
      <alignment horizontal="center" vertical="center" wrapText="1"/>
    </xf>
    <xf numFmtId="3" fontId="18" fillId="8" borderId="27" xfId="0" applyNumberFormat="1" applyFont="1" applyFill="1" applyBorder="1" applyAlignment="1">
      <alignment horizontal="center" vertical="center"/>
    </xf>
    <xf numFmtId="4" fontId="18" fillId="8" borderId="25" xfId="0" applyNumberFormat="1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 wrapText="1"/>
    </xf>
    <xf numFmtId="14" fontId="32" fillId="0" borderId="16" xfId="0" applyNumberFormat="1" applyFont="1" applyBorder="1" applyAlignment="1">
      <alignment horizontal="center" vertical="center"/>
    </xf>
    <xf numFmtId="14" fontId="32" fillId="0" borderId="5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4" fontId="32" fillId="10" borderId="1" xfId="0" applyNumberFormat="1" applyFont="1" applyFill="1" applyBorder="1" applyAlignment="1">
      <alignment horizontal="right" vertical="center"/>
    </xf>
    <xf numFmtId="10" fontId="32" fillId="10" borderId="3" xfId="2" applyNumberFormat="1" applyFont="1" applyFill="1" applyBorder="1" applyAlignment="1">
      <alignment horizontal="center" vertical="center"/>
    </xf>
    <xf numFmtId="164" fontId="32" fillId="11" borderId="4" xfId="0" applyNumberFormat="1" applyFont="1" applyFill="1" applyBorder="1" applyAlignment="1">
      <alignment horizontal="center" vertical="center"/>
    </xf>
    <xf numFmtId="10" fontId="32" fillId="11" borderId="3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0" fontId="18" fillId="0" borderId="0" xfId="2" applyNumberFormat="1" applyFont="1" applyFill="1" applyBorder="1" applyAlignment="1">
      <alignment horizontal="center" vertical="center"/>
    </xf>
    <xf numFmtId="10" fontId="32" fillId="0" borderId="0" xfId="2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0" fontId="32" fillId="0" borderId="0" xfId="2" applyNumberFormat="1" applyFont="1" applyFill="1" applyBorder="1" applyAlignment="1">
      <alignment vertical="center"/>
    </xf>
    <xf numFmtId="0" fontId="32" fillId="0" borderId="13" xfId="0" applyFont="1" applyBorder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10" fontId="32" fillId="0" borderId="0" xfId="0" applyNumberFormat="1" applyFont="1" applyAlignment="1">
      <alignment horizontal="center" wrapText="1"/>
    </xf>
    <xf numFmtId="0" fontId="18" fillId="0" borderId="25" xfId="0" applyFont="1" applyBorder="1"/>
    <xf numFmtId="0" fontId="18" fillId="0" borderId="16" xfId="0" applyFont="1" applyBorder="1"/>
    <xf numFmtId="10" fontId="18" fillId="0" borderId="0" xfId="0" applyNumberFormat="1" applyFont="1"/>
    <xf numFmtId="0" fontId="18" fillId="0" borderId="11" xfId="0" applyFont="1" applyBorder="1"/>
    <xf numFmtId="0" fontId="18" fillId="0" borderId="2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10" fontId="8" fillId="0" borderId="8" xfId="0" applyNumberFormat="1" applyFont="1" applyBorder="1" applyAlignment="1">
      <alignment horizontal="center" vertical="center" wrapText="1"/>
    </xf>
    <xf numFmtId="4" fontId="32" fillId="8" borderId="4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3" fontId="18" fillId="8" borderId="75" xfId="0" applyNumberFormat="1" applyFont="1" applyFill="1" applyBorder="1" applyAlignment="1">
      <alignment horizontal="center" vertical="center"/>
    </xf>
    <xf numFmtId="10" fontId="8" fillId="0" borderId="13" xfId="2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/>
    </xf>
    <xf numFmtId="2" fontId="8" fillId="0" borderId="73" xfId="0" applyNumberFormat="1" applyFont="1" applyBorder="1" applyAlignment="1">
      <alignment vertical="center" wrapText="1"/>
    </xf>
    <xf numFmtId="2" fontId="8" fillId="0" borderId="74" xfId="0" applyNumberFormat="1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3" fontId="1" fillId="0" borderId="0" xfId="0" applyNumberFormat="1" applyFont="1"/>
    <xf numFmtId="10" fontId="1" fillId="0" borderId="1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 wrapText="1"/>
    </xf>
    <xf numFmtId="166" fontId="1" fillId="0" borderId="0" xfId="2" applyNumberFormat="1" applyFont="1"/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center" vertical="center"/>
    </xf>
    <xf numFmtId="10" fontId="32" fillId="0" borderId="10" xfId="2" applyNumberFormat="1" applyFont="1" applyFill="1" applyBorder="1" applyAlignment="1">
      <alignment vertical="center"/>
    </xf>
    <xf numFmtId="10" fontId="18" fillId="0" borderId="1" xfId="0" applyNumberFormat="1" applyFont="1" applyBorder="1"/>
    <xf numFmtId="9" fontId="18" fillId="0" borderId="13" xfId="0" applyNumberFormat="1" applyFont="1" applyBorder="1"/>
    <xf numFmtId="10" fontId="18" fillId="0" borderId="13" xfId="0" applyNumberFormat="1" applyFont="1" applyBorder="1"/>
    <xf numFmtId="10" fontId="18" fillId="0" borderId="1" xfId="2" applyNumberFormat="1" applyFont="1" applyBorder="1"/>
    <xf numFmtId="9" fontId="1" fillId="0" borderId="1" xfId="2" applyFont="1" applyBorder="1" applyAlignment="1">
      <alignment horizontal="center" vertical="center"/>
    </xf>
    <xf numFmtId="43" fontId="32" fillId="0" borderId="40" xfId="0" applyNumberFormat="1" applyFont="1" applyBorder="1"/>
    <xf numFmtId="0" fontId="18" fillId="8" borderId="45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/>
    </xf>
    <xf numFmtId="3" fontId="18" fillId="8" borderId="28" xfId="0" applyNumberFormat="1" applyFont="1" applyFill="1" applyBorder="1" applyAlignment="1">
      <alignment horizontal="center" vertical="center"/>
    </xf>
    <xf numFmtId="4" fontId="32" fillId="8" borderId="19" xfId="0" applyNumberFormat="1" applyFont="1" applyFill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54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/>
    </xf>
    <xf numFmtId="4" fontId="32" fillId="10" borderId="20" xfId="0" applyNumberFormat="1" applyFont="1" applyFill="1" applyBorder="1" applyAlignment="1">
      <alignment horizontal="right" vertical="center"/>
    </xf>
    <xf numFmtId="10" fontId="32" fillId="10" borderId="51" xfId="2" applyNumberFormat="1" applyFont="1" applyFill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10" fontId="32" fillId="0" borderId="21" xfId="2" applyNumberFormat="1" applyFont="1" applyFill="1" applyBorder="1" applyAlignment="1">
      <alignment horizontal="center" vertical="center"/>
    </xf>
    <xf numFmtId="164" fontId="32" fillId="11" borderId="68" xfId="0" applyNumberFormat="1" applyFont="1" applyFill="1" applyBorder="1" applyAlignment="1">
      <alignment horizontal="center" vertical="center"/>
    </xf>
    <xf numFmtId="10" fontId="32" fillId="11" borderId="51" xfId="2" applyNumberFormat="1" applyFont="1" applyFill="1" applyBorder="1" applyAlignment="1">
      <alignment horizontal="center" vertical="center"/>
    </xf>
    <xf numFmtId="10" fontId="32" fillId="0" borderId="19" xfId="2" applyNumberFormat="1" applyFont="1" applyBorder="1" applyAlignment="1">
      <alignment vertical="center"/>
    </xf>
    <xf numFmtId="10" fontId="32" fillId="0" borderId="20" xfId="2" applyNumberFormat="1" applyFont="1" applyBorder="1" applyAlignment="1">
      <alignment vertical="center"/>
    </xf>
    <xf numFmtId="10" fontId="32" fillId="0" borderId="21" xfId="2" applyNumberFormat="1" applyFont="1" applyBorder="1" applyAlignment="1">
      <alignment vertical="center"/>
    </xf>
    <xf numFmtId="0" fontId="32" fillId="0" borderId="48" xfId="0" applyFont="1" applyBorder="1"/>
    <xf numFmtId="4" fontId="32" fillId="8" borderId="68" xfId="0" applyNumberFormat="1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center" vertical="center"/>
    </xf>
    <xf numFmtId="10" fontId="18" fillId="0" borderId="18" xfId="2" applyNumberFormat="1" applyFont="1" applyFill="1" applyBorder="1" applyAlignment="1">
      <alignment horizontal="center" vertical="center"/>
    </xf>
    <xf numFmtId="3" fontId="18" fillId="0" borderId="55" xfId="0" applyNumberFormat="1" applyFont="1" applyBorder="1" applyAlignment="1">
      <alignment horizontal="center" vertical="center"/>
    </xf>
    <xf numFmtId="14" fontId="3" fillId="12" borderId="0" xfId="0" applyNumberFormat="1" applyFon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4" fontId="0" fillId="12" borderId="0" xfId="0" applyNumberFormat="1" applyFill="1"/>
    <xf numFmtId="9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/>
    <xf numFmtId="4" fontId="14" fillId="12" borderId="0" xfId="0" applyNumberFormat="1" applyFont="1" applyFill="1"/>
    <xf numFmtId="4" fontId="0" fillId="0" borderId="76" xfId="0" applyNumberFormat="1" applyBorder="1"/>
    <xf numFmtId="0" fontId="1" fillId="12" borderId="1" xfId="0" applyFont="1" applyFill="1" applyBorder="1" applyAlignment="1">
      <alignment horizontal="center" vertical="center"/>
    </xf>
    <xf numFmtId="10" fontId="1" fillId="12" borderId="1" xfId="2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right" vertical="center"/>
    </xf>
    <xf numFmtId="164" fontId="13" fillId="12" borderId="1" xfId="1" applyFont="1" applyFill="1" applyBorder="1" applyAlignment="1">
      <alignment vertical="center"/>
    </xf>
    <xf numFmtId="10" fontId="1" fillId="12" borderId="1" xfId="0" applyNumberFormat="1" applyFont="1" applyFill="1" applyBorder="1" applyAlignment="1">
      <alignment horizontal="center" vertical="center"/>
    </xf>
    <xf numFmtId="10" fontId="18" fillId="12" borderId="1" xfId="0" applyNumberFormat="1" applyFont="1" applyFill="1" applyBorder="1"/>
    <xf numFmtId="0" fontId="18" fillId="12" borderId="0" xfId="0" applyFont="1" applyFill="1"/>
    <xf numFmtId="0" fontId="32" fillId="12" borderId="0" xfId="0" applyFont="1" applyFill="1" applyAlignment="1">
      <alignment horizontal="center" wrapText="1"/>
    </xf>
    <xf numFmtId="4" fontId="14" fillId="12" borderId="0" xfId="0" applyNumberFormat="1" applyFont="1" applyFill="1" applyAlignment="1">
      <alignment horizontal="right" vertic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4" fontId="14" fillId="12" borderId="0" xfId="0" applyNumberFormat="1" applyFont="1" applyFill="1" applyAlignment="1">
      <alignment horizontal="center" vertical="center"/>
    </xf>
    <xf numFmtId="4" fontId="0" fillId="12" borderId="0" xfId="0" applyNumberFormat="1" applyFill="1" applyAlignment="1">
      <alignment horizontal="right" vertical="center"/>
    </xf>
    <xf numFmtId="4" fontId="14" fillId="12" borderId="76" xfId="0" applyNumberFormat="1" applyFont="1" applyFill="1" applyBorder="1"/>
    <xf numFmtId="0" fontId="14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wrapText="1"/>
    </xf>
    <xf numFmtId="0" fontId="30" fillId="12" borderId="48" xfId="0" applyFont="1" applyFill="1" applyBorder="1" applyAlignment="1">
      <alignment horizontal="center"/>
    </xf>
    <xf numFmtId="0" fontId="30" fillId="12" borderId="0" xfId="0" applyFont="1" applyFill="1" applyAlignment="1">
      <alignment horizontal="center" vertical="top"/>
    </xf>
    <xf numFmtId="0" fontId="30" fillId="12" borderId="48" xfId="0" applyFont="1" applyFill="1" applyBorder="1" applyAlignment="1">
      <alignment horizontal="center" vertical="center"/>
    </xf>
    <xf numFmtId="10" fontId="30" fillId="12" borderId="48" xfId="0" applyNumberFormat="1" applyFont="1" applyFill="1" applyBorder="1" applyAlignment="1">
      <alignment horizontal="center" vertical="center"/>
    </xf>
    <xf numFmtId="164" fontId="30" fillId="12" borderId="48" xfId="1" applyFont="1" applyFill="1" applyBorder="1" applyAlignment="1">
      <alignment horizontal="center" vertical="center"/>
    </xf>
    <xf numFmtId="164" fontId="30" fillId="12" borderId="48" xfId="0" applyNumberFormat="1" applyFont="1" applyFill="1" applyBorder="1" applyAlignment="1">
      <alignment horizontal="center" vertical="center"/>
    </xf>
    <xf numFmtId="10" fontId="29" fillId="12" borderId="48" xfId="2" applyNumberFormat="1" applyFont="1" applyFill="1" applyBorder="1" applyAlignment="1"/>
    <xf numFmtId="10" fontId="29" fillId="12" borderId="40" xfId="2" applyNumberFormat="1" applyFont="1" applyFill="1" applyBorder="1" applyAlignment="1"/>
    <xf numFmtId="0" fontId="30" fillId="8" borderId="5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4" fontId="30" fillId="8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10" fontId="30" fillId="0" borderId="21" xfId="0" applyNumberFormat="1" applyFont="1" applyBorder="1" applyAlignment="1">
      <alignment horizontal="center" vertical="center"/>
    </xf>
    <xf numFmtId="4" fontId="30" fillId="10" borderId="20" xfId="0" applyNumberFormat="1" applyFont="1" applyFill="1" applyBorder="1" applyAlignment="1">
      <alignment horizontal="center" vertical="center"/>
    </xf>
    <xf numFmtId="164" fontId="30" fillId="10" borderId="20" xfId="1" applyFont="1" applyFill="1" applyBorder="1" applyAlignment="1">
      <alignment horizontal="center" vertical="center"/>
    </xf>
    <xf numFmtId="10" fontId="30" fillId="10" borderId="20" xfId="2" applyNumberFormat="1" applyFont="1" applyFill="1" applyBorder="1" applyAlignment="1">
      <alignment horizontal="center" vertical="center"/>
    </xf>
    <xf numFmtId="9" fontId="30" fillId="0" borderId="21" xfId="2" applyFont="1" applyFill="1" applyBorder="1" applyAlignment="1">
      <alignment horizontal="center" vertical="center"/>
    </xf>
    <xf numFmtId="164" fontId="30" fillId="11" borderId="68" xfId="0" applyNumberFormat="1" applyFont="1" applyFill="1" applyBorder="1" applyAlignment="1">
      <alignment horizontal="center" vertical="center"/>
    </xf>
    <xf numFmtId="10" fontId="30" fillId="11" borderId="51" xfId="2" applyNumberFormat="1" applyFont="1" applyFill="1" applyBorder="1" applyAlignment="1">
      <alignment horizontal="center" vertical="center"/>
    </xf>
    <xf numFmtId="10" fontId="29" fillId="0" borderId="19" xfId="2" applyNumberFormat="1" applyFont="1" applyBorder="1" applyAlignment="1">
      <alignment vertical="center"/>
    </xf>
    <xf numFmtId="10" fontId="29" fillId="0" borderId="20" xfId="2" applyNumberFormat="1" applyFont="1" applyBorder="1" applyAlignment="1">
      <alignment vertical="center"/>
    </xf>
    <xf numFmtId="10" fontId="29" fillId="0" borderId="21" xfId="2" applyNumberFormat="1" applyFont="1" applyBorder="1" applyAlignment="1">
      <alignment vertical="center"/>
    </xf>
    <xf numFmtId="4" fontId="29" fillId="12" borderId="63" xfId="0" applyNumberFormat="1" applyFont="1" applyFill="1" applyBorder="1" applyAlignment="1">
      <alignment horizontal="center" vertical="center"/>
    </xf>
    <xf numFmtId="10" fontId="30" fillId="12" borderId="63" xfId="2" applyNumberFormat="1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4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/>
    </xf>
    <xf numFmtId="3" fontId="18" fillId="12" borderId="28" xfId="0" applyNumberFormat="1" applyFont="1" applyFill="1" applyBorder="1" applyAlignment="1">
      <alignment horizontal="center" vertical="center"/>
    </xf>
    <xf numFmtId="10" fontId="8" fillId="12" borderId="0" xfId="2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8" xfId="0" applyFont="1" applyBorder="1"/>
    <xf numFmtId="0" fontId="1" fillId="0" borderId="8" xfId="0" applyFont="1" applyBorder="1" applyAlignment="1">
      <alignment wrapText="1"/>
    </xf>
    <xf numFmtId="0" fontId="8" fillId="0" borderId="1" xfId="0" applyFont="1" applyBorder="1"/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2" fontId="8" fillId="0" borderId="73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/>
    </xf>
    <xf numFmtId="0" fontId="8" fillId="0" borderId="73" xfId="0" applyFont="1" applyBorder="1"/>
    <xf numFmtId="0" fontId="8" fillId="0" borderId="77" xfId="0" applyFont="1" applyBorder="1"/>
    <xf numFmtId="0" fontId="8" fillId="0" borderId="74" xfId="0" applyFont="1" applyBorder="1"/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0" fillId="13" borderId="0" xfId="0" applyNumberFormat="1" applyFill="1" applyAlignment="1">
      <alignment horizontal="right" vertical="center"/>
    </xf>
    <xf numFmtId="4" fontId="0" fillId="12" borderId="0" xfId="0" applyNumberFormat="1" applyFont="1" applyFill="1" applyAlignment="1">
      <alignment horizontal="right" vertical="center"/>
    </xf>
    <xf numFmtId="4" fontId="0" fillId="12" borderId="0" xfId="0" applyNumberFormat="1" applyFont="1" applyFill="1"/>
    <xf numFmtId="14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/>
    </xf>
    <xf numFmtId="44" fontId="1" fillId="0" borderId="33" xfId="3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/>
    </xf>
    <xf numFmtId="14" fontId="1" fillId="0" borderId="46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8" fillId="0" borderId="3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0" fontId="8" fillId="0" borderId="7" xfId="0" applyNumberFormat="1" applyFont="1" applyBorder="1" applyAlignment="1">
      <alignment horizontal="center" vertical="center"/>
    </xf>
    <xf numFmtId="10" fontId="8" fillId="12" borderId="3" xfId="0" applyNumberFormat="1" applyFont="1" applyFill="1" applyBorder="1" applyAlignment="1">
      <alignment horizontal="center" vertical="center"/>
    </xf>
    <xf numFmtId="10" fontId="8" fillId="1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6" fillId="12" borderId="9" xfId="0" applyFont="1" applyFill="1" applyBorder="1" applyAlignment="1">
      <alignment horizontal="justify" vertical="top" wrapText="1"/>
    </xf>
    <xf numFmtId="0" fontId="36" fillId="12" borderId="0" xfId="0" applyFont="1" applyFill="1" applyAlignment="1">
      <alignment horizontal="justify" vertical="top" wrapText="1"/>
    </xf>
    <xf numFmtId="0" fontId="36" fillId="12" borderId="10" xfId="0" applyFont="1" applyFill="1" applyBorder="1" applyAlignment="1">
      <alignment horizontal="justify" vertical="top" wrapText="1"/>
    </xf>
    <xf numFmtId="0" fontId="36" fillId="12" borderId="6" xfId="0" applyFont="1" applyFill="1" applyBorder="1" applyAlignment="1">
      <alignment horizontal="justify" vertical="top" wrapText="1"/>
    </xf>
    <xf numFmtId="0" fontId="36" fillId="12" borderId="5" xfId="0" applyFont="1" applyFill="1" applyBorder="1" applyAlignment="1">
      <alignment horizontal="justify" vertical="top" wrapText="1"/>
    </xf>
    <xf numFmtId="0" fontId="36" fillId="12" borderId="8" xfId="0" applyFont="1" applyFill="1" applyBorder="1" applyAlignment="1">
      <alignment horizontal="justify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0" fillId="12" borderId="9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8" fillId="0" borderId="73" xfId="0" applyNumberFormat="1" applyFont="1" applyBorder="1" applyAlignment="1">
      <alignment horizontal="left"/>
    </xf>
    <xf numFmtId="2" fontId="8" fillId="0" borderId="77" xfId="0" applyNumberFormat="1" applyFont="1" applyBorder="1" applyAlignment="1">
      <alignment horizontal="left"/>
    </xf>
    <xf numFmtId="2" fontId="8" fillId="0" borderId="74" xfId="0" applyNumberFormat="1" applyFont="1" applyBorder="1" applyAlignment="1">
      <alignment horizontal="left"/>
    </xf>
    <xf numFmtId="2" fontId="8" fillId="0" borderId="58" xfId="0" applyNumberFormat="1" applyFont="1" applyBorder="1" applyAlignment="1">
      <alignment horizontal="left" vertical="center" wrapText="1"/>
    </xf>
    <xf numFmtId="2" fontId="8" fillId="0" borderId="60" xfId="0" applyNumberFormat="1" applyFont="1" applyBorder="1" applyAlignment="1">
      <alignment horizontal="left" vertical="center" wrapText="1"/>
    </xf>
    <xf numFmtId="2" fontId="8" fillId="0" borderId="59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wrapText="1"/>
    </xf>
    <xf numFmtId="2" fontId="8" fillId="0" borderId="7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horizontal="left" wrapText="1"/>
    </xf>
    <xf numFmtId="2" fontId="8" fillId="0" borderId="6" xfId="0" applyNumberFormat="1" applyFont="1" applyBorder="1" applyAlignment="1">
      <alignment horizontal="left" wrapText="1"/>
    </xf>
    <xf numFmtId="2" fontId="8" fillId="0" borderId="5" xfId="0" applyNumberFormat="1" applyFont="1" applyBorder="1" applyAlignment="1">
      <alignment horizontal="left" wrapText="1"/>
    </xf>
    <xf numFmtId="2" fontId="8" fillId="0" borderId="8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0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0" fontId="18" fillId="4" borderId="29" xfId="0" applyNumberFormat="1" applyFont="1" applyFill="1" applyBorder="1" applyAlignment="1">
      <alignment horizontal="center" vertical="center" wrapText="1"/>
    </xf>
    <xf numFmtId="10" fontId="18" fillId="4" borderId="39" xfId="0" applyNumberFormat="1" applyFont="1" applyFill="1" applyBorder="1" applyAlignment="1">
      <alignment horizontal="center" vertical="center" wrapText="1"/>
    </xf>
    <xf numFmtId="0" fontId="18" fillId="8" borderId="72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4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70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71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/>
    </xf>
    <xf numFmtId="10" fontId="18" fillId="4" borderId="24" xfId="0" applyNumberFormat="1" applyFont="1" applyFill="1" applyBorder="1" applyAlignment="1">
      <alignment horizontal="center" vertical="center" wrapText="1"/>
    </xf>
    <xf numFmtId="10" fontId="18" fillId="4" borderId="37" xfId="0" applyNumberFormat="1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43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9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32" fillId="8" borderId="35" xfId="0" applyFont="1" applyFill="1" applyBorder="1" applyAlignment="1">
      <alignment horizontal="center" vertical="center" wrapText="1"/>
    </xf>
    <xf numFmtId="0" fontId="32" fillId="8" borderId="75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34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43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10" fontId="18" fillId="0" borderId="3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10" fontId="18" fillId="0" borderId="3" xfId="2" applyNumberFormat="1" applyFont="1" applyBorder="1" applyAlignment="1">
      <alignment horizontal="center"/>
    </xf>
    <xf numFmtId="10" fontId="18" fillId="0" borderId="4" xfId="2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2" fillId="8" borderId="42" xfId="0" applyFont="1" applyFill="1" applyBorder="1" applyAlignment="1">
      <alignment horizontal="center" wrapText="1"/>
    </xf>
    <xf numFmtId="0" fontId="32" fillId="8" borderId="43" xfId="0" applyFont="1" applyFill="1" applyBorder="1" applyAlignment="1">
      <alignment horizontal="center" wrapText="1"/>
    </xf>
    <xf numFmtId="0" fontId="32" fillId="8" borderId="44" xfId="0" applyFont="1" applyFill="1" applyBorder="1" applyAlignment="1">
      <alignment horizont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32" fillId="8" borderId="52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left"/>
    </xf>
    <xf numFmtId="0" fontId="22" fillId="8" borderId="35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8" borderId="41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0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0" fontId="22" fillId="10" borderId="4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0" fillId="8" borderId="72" xfId="0" applyFont="1" applyFill="1" applyBorder="1" applyAlignment="1">
      <alignment horizontal="center" vertical="center" wrapText="1"/>
    </xf>
    <xf numFmtId="0" fontId="30" fillId="8" borderId="75" xfId="0" applyFont="1" applyFill="1" applyBorder="1" applyAlignment="1">
      <alignment horizontal="center" vertical="center" wrapText="1"/>
    </xf>
    <xf numFmtId="0" fontId="30" fillId="8" borderId="27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/>
    </xf>
    <xf numFmtId="0" fontId="23" fillId="8" borderId="56" xfId="0" applyFont="1" applyFill="1" applyBorder="1" applyAlignment="1">
      <alignment horizontal="center"/>
    </xf>
    <xf numFmtId="0" fontId="23" fillId="8" borderId="54" xfId="0" applyFont="1" applyFill="1" applyBorder="1" applyAlignment="1">
      <alignment horizontal="center"/>
    </xf>
    <xf numFmtId="0" fontId="21" fillId="8" borderId="5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30" fillId="8" borderId="47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30" fillId="8" borderId="56" xfId="0" applyFont="1" applyFill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29" fillId="8" borderId="52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32" fillId="0" borderId="4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32" fillId="0" borderId="48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39" xfId="0" applyFont="1" applyBorder="1" applyAlignment="1">
      <alignment horizontal="left"/>
    </xf>
    <xf numFmtId="10" fontId="8" fillId="0" borderId="3" xfId="2" applyNumberFormat="1" applyFont="1" applyBorder="1" applyAlignment="1">
      <alignment horizontal="left" vertical="center" wrapText="1"/>
    </xf>
    <xf numFmtId="10" fontId="8" fillId="0" borderId="4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4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7" fillId="3" borderId="42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6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21" fillId="8" borderId="4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0" fontId="8" fillId="0" borderId="14" xfId="2" applyNumberFormat="1" applyFont="1" applyBorder="1" applyAlignment="1">
      <alignment horizontal="center" vertical="center" wrapText="1"/>
    </xf>
    <xf numFmtId="10" fontId="8" fillId="0" borderId="13" xfId="2" applyNumberFormat="1" applyFont="1" applyBorder="1" applyAlignment="1">
      <alignment horizontal="center" vertical="center" wrapText="1"/>
    </xf>
    <xf numFmtId="10" fontId="8" fillId="0" borderId="11" xfId="2" applyNumberFormat="1" applyFont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 wrapText="1"/>
    </xf>
    <xf numFmtId="10" fontId="8" fillId="0" borderId="8" xfId="2" applyNumberFormat="1" applyFont="1" applyBorder="1" applyAlignment="1">
      <alignment horizontal="center" vertical="center" wrapText="1"/>
    </xf>
    <xf numFmtId="10" fontId="8" fillId="0" borderId="23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12" borderId="3" xfId="0" applyFont="1" applyFill="1" applyBorder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0" fillId="12" borderId="4" xfId="0" applyFont="1" applyFill="1" applyBorder="1" applyAlignment="1">
      <alignment horizontal="justify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1/IAFF%202021/IAFF%20DICIEMBRE%20%202021/DICIEMBRE%202021%20kfw%20Avance%20F&#237;sico%20Financiero%20Desempe&#241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3/IAFF%202023/12%20DICIEMBRE%20IAFF%202023/DICIEMBRE_2023_PROEDUC_V_I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</sheetNames>
    <sheetDataSet>
      <sheetData sheetId="0">
        <row r="19">
          <cell r="G19">
            <v>6</v>
          </cell>
          <cell r="H19">
            <v>0</v>
          </cell>
          <cell r="K19">
            <v>24369880</v>
          </cell>
          <cell r="L19">
            <v>0</v>
          </cell>
        </row>
        <row r="20">
          <cell r="G20">
            <v>6546</v>
          </cell>
          <cell r="H20">
            <v>30.88</v>
          </cell>
          <cell r="K20">
            <v>45506015</v>
          </cell>
          <cell r="L20">
            <v>2103660.84</v>
          </cell>
        </row>
        <row r="21">
          <cell r="G21">
            <v>7</v>
          </cell>
          <cell r="H21">
            <v>0</v>
          </cell>
          <cell r="K21">
            <v>7944372</v>
          </cell>
          <cell r="L21">
            <v>0</v>
          </cell>
        </row>
        <row r="22">
          <cell r="G22">
            <v>1</v>
          </cell>
          <cell r="H22">
            <v>0</v>
          </cell>
          <cell r="K22">
            <v>0</v>
          </cell>
          <cell r="L22">
            <v>0</v>
          </cell>
        </row>
        <row r="23">
          <cell r="G23">
            <v>1</v>
          </cell>
          <cell r="K23">
            <v>219000</v>
          </cell>
          <cell r="L23">
            <v>70582.38</v>
          </cell>
        </row>
        <row r="24">
          <cell r="G24">
            <v>1</v>
          </cell>
          <cell r="H24">
            <v>0</v>
          </cell>
          <cell r="K24">
            <v>3905438</v>
          </cell>
          <cell r="L24">
            <v>3308254</v>
          </cell>
        </row>
        <row r="32">
          <cell r="H32"/>
        </row>
        <row r="34">
          <cell r="H34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  <sheetName val="Hoja1"/>
    </sheetNames>
    <sheetDataSet>
      <sheetData sheetId="0">
        <row r="19">
          <cell r="B19" t="str">
            <v>Construcción, ampliación y mejoramiento de infraestructura educativa del ciclo diversificado</v>
          </cell>
          <cell r="C19"/>
          <cell r="D19"/>
          <cell r="G19">
            <v>5303</v>
          </cell>
          <cell r="H19">
            <v>3903.4700000000003</v>
          </cell>
          <cell r="K19">
            <v>44524953</v>
          </cell>
          <cell r="L19">
            <v>33414669.16</v>
          </cell>
        </row>
        <row r="20">
          <cell r="B20" t="str">
            <v>Institutos tecnológicos dotados con equipamiento y mobiliario escolar</v>
          </cell>
          <cell r="C20"/>
          <cell r="D20"/>
          <cell r="G20">
            <v>11</v>
          </cell>
          <cell r="H20">
            <v>2</v>
          </cell>
          <cell r="K20">
            <v>2156848</v>
          </cell>
          <cell r="L20">
            <v>483900</v>
          </cell>
        </row>
        <row r="21">
          <cell r="B21" t="str">
            <v>Centros escolares del nivel medio ciclo diversificado rehabilitados</v>
          </cell>
          <cell r="C21"/>
          <cell r="D21"/>
          <cell r="F21">
            <v>2</v>
          </cell>
          <cell r="H21">
            <v>2</v>
          </cell>
          <cell r="K21">
            <v>607657</v>
          </cell>
          <cell r="L21">
            <v>572181.34</v>
          </cell>
        </row>
        <row r="25">
          <cell r="K25">
            <v>50000</v>
          </cell>
          <cell r="L25">
            <v>0</v>
          </cell>
        </row>
        <row r="27">
          <cell r="K27">
            <v>315486</v>
          </cell>
          <cell r="L27">
            <v>217786</v>
          </cell>
        </row>
        <row r="28">
          <cell r="K28">
            <v>3719778</v>
          </cell>
          <cell r="L28">
            <v>3076185.29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8"/>
  <sheetViews>
    <sheetView showGridLines="0" view="pageBreakPreview" topLeftCell="A28" zoomScale="75" zoomScaleNormal="75" zoomScaleSheetLayoutView="75" zoomScalePageLayoutView="55" workbookViewId="0">
      <selection activeCell="I53" sqref="I53"/>
    </sheetView>
  </sheetViews>
  <sheetFormatPr baseColWidth="10" defaultColWidth="11.42578125" defaultRowHeight="18.75" x14ac:dyDescent="0.3"/>
  <cols>
    <col min="1" max="1" width="21.7109375" style="1" customWidth="1"/>
    <col min="2" max="2" width="15.140625" style="1" customWidth="1"/>
    <col min="3" max="3" width="25.5703125" style="1" customWidth="1"/>
    <col min="4" max="4" width="16" style="3" customWidth="1"/>
    <col min="5" max="5" width="19.28515625" style="2" customWidth="1"/>
    <col min="6" max="6" width="19" style="2" customWidth="1"/>
    <col min="7" max="7" width="16.85546875" style="2" customWidth="1"/>
    <col min="8" max="8" width="16.140625" style="11" customWidth="1"/>
    <col min="9" max="9" width="16.140625" style="2" customWidth="1"/>
    <col min="10" max="10" width="23.5703125" style="11" customWidth="1"/>
    <col min="11" max="11" width="23" style="2" customWidth="1"/>
    <col min="12" max="12" width="24.1406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23" width="11.42578125" style="1"/>
    <col min="24" max="24" width="43.5703125" style="1" customWidth="1"/>
    <col min="25" max="25" width="11.42578125" style="1"/>
    <col min="26" max="26" width="17.85546875" style="1" bestFit="1" customWidth="1"/>
    <col min="27" max="16384" width="11.42578125" style="1"/>
  </cols>
  <sheetData>
    <row r="2" spans="1:17" ht="46.5" customHeight="1" x14ac:dyDescent="0.7">
      <c r="A2" s="504" t="s">
        <v>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505" t="s">
        <v>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506" t="s">
        <v>2</v>
      </c>
      <c r="B6" s="506"/>
      <c r="C6" s="57">
        <v>2025</v>
      </c>
      <c r="D6" s="13"/>
      <c r="E6" s="509" t="s">
        <v>3</v>
      </c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17"/>
    </row>
    <row r="7" spans="1:17" ht="18.75" customHeight="1" x14ac:dyDescent="0.35">
      <c r="A7" s="43"/>
      <c r="B7" s="43" t="s">
        <v>4</v>
      </c>
      <c r="C7" s="57" t="s">
        <v>222</v>
      </c>
      <c r="D7" s="13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17"/>
    </row>
    <row r="8" spans="1:17" ht="23.25" x14ac:dyDescent="0.35">
      <c r="A8" s="506" t="s">
        <v>5</v>
      </c>
      <c r="B8" s="506"/>
      <c r="C8" s="57">
        <v>11130008</v>
      </c>
      <c r="D8" s="13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17"/>
    </row>
    <row r="9" spans="1:17" ht="23.25" x14ac:dyDescent="0.35">
      <c r="A9" s="506" t="s">
        <v>6</v>
      </c>
      <c r="B9" s="506"/>
      <c r="C9" s="57" t="s">
        <v>7</v>
      </c>
      <c r="D9" s="13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17"/>
    </row>
    <row r="10" spans="1:17" ht="24.75" customHeight="1" x14ac:dyDescent="0.3">
      <c r="A10" s="507" t="s">
        <v>8</v>
      </c>
      <c r="B10" s="507"/>
      <c r="C10" s="57" t="s">
        <v>9</v>
      </c>
      <c r="D10" s="6"/>
      <c r="E10" s="509"/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17"/>
    </row>
    <row r="11" spans="1:17" ht="21" customHeight="1" x14ac:dyDescent="0.3">
      <c r="A11" s="19"/>
      <c r="B11" s="19" t="s">
        <v>10</v>
      </c>
      <c r="C11" s="57" t="s">
        <v>11</v>
      </c>
      <c r="D11" s="6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17"/>
    </row>
    <row r="12" spans="1:17" ht="21" customHeight="1" x14ac:dyDescent="0.3">
      <c r="A12" s="19"/>
      <c r="B12" s="19"/>
      <c r="C12" s="58"/>
      <c r="D12" s="6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17"/>
    </row>
    <row r="13" spans="1:17" ht="21" customHeight="1" x14ac:dyDescent="0.3">
      <c r="A13" s="19"/>
      <c r="B13" s="19"/>
      <c r="C13" s="8"/>
      <c r="D13" s="6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505" t="s">
        <v>12</v>
      </c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26" ht="42" x14ac:dyDescent="0.35">
      <c r="A17" s="54" t="s">
        <v>13</v>
      </c>
      <c r="B17" s="501" t="s">
        <v>14</v>
      </c>
      <c r="C17" s="502"/>
      <c r="D17" s="503"/>
      <c r="E17" s="42" t="s">
        <v>15</v>
      </c>
      <c r="F17" s="501" t="s">
        <v>16</v>
      </c>
      <c r="G17" s="508"/>
      <c r="H17" s="508"/>
      <c r="I17" s="466"/>
      <c r="J17" s="501" t="s">
        <v>17</v>
      </c>
      <c r="K17" s="508"/>
      <c r="L17" s="508"/>
      <c r="M17" s="466"/>
      <c r="N17" s="501" t="s">
        <v>18</v>
      </c>
      <c r="O17" s="508"/>
      <c r="P17" s="466"/>
    </row>
    <row r="18" spans="1:26" ht="24.75" customHeight="1" x14ac:dyDescent="0.3">
      <c r="A18" s="161" t="s">
        <v>19</v>
      </c>
      <c r="B18" s="162"/>
      <c r="C18" s="163"/>
      <c r="D18" s="164"/>
      <c r="E18" s="161"/>
      <c r="F18" s="165" t="s">
        <v>20</v>
      </c>
      <c r="G18" s="131" t="s">
        <v>21</v>
      </c>
      <c r="H18" s="131" t="s">
        <v>22</v>
      </c>
      <c r="I18" s="131" t="s">
        <v>23</v>
      </c>
      <c r="J18" s="131" t="s">
        <v>20</v>
      </c>
      <c r="K18" s="131" t="s">
        <v>21</v>
      </c>
      <c r="L18" s="131" t="s">
        <v>22</v>
      </c>
      <c r="M18" s="131" t="s">
        <v>23</v>
      </c>
      <c r="N18" s="530"/>
      <c r="O18" s="531"/>
      <c r="P18" s="532"/>
    </row>
    <row r="19" spans="1:26" ht="73.5" customHeight="1" x14ac:dyDescent="0.3">
      <c r="A19" s="473" t="s">
        <v>24</v>
      </c>
      <c r="B19" s="484" t="s">
        <v>25</v>
      </c>
      <c r="C19" s="485"/>
      <c r="D19" s="486"/>
      <c r="E19" s="185" t="s">
        <v>26</v>
      </c>
      <c r="F19" s="381">
        <v>0</v>
      </c>
      <c r="G19" s="381">
        <v>0</v>
      </c>
      <c r="H19" s="381">
        <v>0</v>
      </c>
      <c r="I19" s="382">
        <v>0</v>
      </c>
      <c r="J19" s="383"/>
      <c r="K19" s="383">
        <f>SUM(Hoja1!C4:C5)</f>
        <v>0</v>
      </c>
      <c r="L19" s="384">
        <f>Hoja1!E6</f>
        <v>0</v>
      </c>
      <c r="M19" s="385">
        <v>0</v>
      </c>
      <c r="N19" s="550" t="s">
        <v>27</v>
      </c>
      <c r="O19" s="551"/>
      <c r="P19" s="552"/>
      <c r="S19" s="1">
        <f>56.17/4773*100</f>
        <v>1.1768279907814791</v>
      </c>
      <c r="Z19" s="116" t="e">
        <f>#REF!-K29</f>
        <v>#REF!</v>
      </c>
    </row>
    <row r="20" spans="1:26" ht="45.75" customHeight="1" x14ac:dyDescent="0.3">
      <c r="A20" s="473"/>
      <c r="B20" s="481" t="s">
        <v>28</v>
      </c>
      <c r="C20" s="482"/>
      <c r="D20" s="483"/>
      <c r="E20" s="115" t="s">
        <v>29</v>
      </c>
      <c r="F20" s="44">
        <v>11</v>
      </c>
      <c r="G20" s="44">
        <v>102</v>
      </c>
      <c r="H20" s="44">
        <v>0</v>
      </c>
      <c r="I20" s="344">
        <f>H20/G20</f>
        <v>0</v>
      </c>
      <c r="J20" s="118">
        <v>25000000</v>
      </c>
      <c r="K20" s="118">
        <f>+Hoja1!C29+Hoja1!C64</f>
        <v>46689340</v>
      </c>
      <c r="L20" s="114">
        <f>Hoja1!E64+Hoja1!E29</f>
        <v>31137826.5</v>
      </c>
      <c r="M20" s="174">
        <f>L20/K20</f>
        <v>0.66691511381398838</v>
      </c>
      <c r="N20" s="550"/>
      <c r="O20" s="551"/>
      <c r="P20" s="552"/>
    </row>
    <row r="21" spans="1:26" ht="39.75" customHeight="1" x14ac:dyDescent="0.3">
      <c r="A21" s="473"/>
      <c r="B21" s="484" t="s">
        <v>30</v>
      </c>
      <c r="C21" s="485"/>
      <c r="D21" s="486"/>
      <c r="E21" s="115" t="s">
        <v>29</v>
      </c>
      <c r="F21" s="44">
        <v>9</v>
      </c>
      <c r="G21" s="44">
        <v>0</v>
      </c>
      <c r="H21" s="44">
        <v>0</v>
      </c>
      <c r="I21" s="44">
        <v>0</v>
      </c>
      <c r="J21" s="118">
        <v>0</v>
      </c>
      <c r="K21" s="118">
        <f>SUM(Hoja1!C9:C10)</f>
        <v>0</v>
      </c>
      <c r="L21" s="114">
        <f>Hoja1!E11</f>
        <v>0</v>
      </c>
      <c r="M21" s="174">
        <v>0</v>
      </c>
      <c r="N21" s="550"/>
      <c r="O21" s="551"/>
      <c r="P21" s="552"/>
    </row>
    <row r="22" spans="1:26" ht="39.75" hidden="1" customHeight="1" x14ac:dyDescent="0.3">
      <c r="A22" s="473"/>
      <c r="B22" s="474"/>
      <c r="C22" s="475"/>
      <c r="D22" s="476"/>
      <c r="E22" s="115"/>
      <c r="F22" s="44"/>
      <c r="G22" s="44"/>
      <c r="H22" s="44"/>
      <c r="I22" s="44"/>
      <c r="J22" s="118"/>
      <c r="K22" s="118"/>
      <c r="L22" s="44"/>
      <c r="M22" s="174"/>
      <c r="N22" s="550"/>
      <c r="O22" s="551"/>
      <c r="P22" s="552"/>
    </row>
    <row r="23" spans="1:26" ht="38.25" hidden="1" customHeight="1" x14ac:dyDescent="0.3">
      <c r="A23" s="117"/>
      <c r="B23" s="477"/>
      <c r="C23" s="478"/>
      <c r="D23" s="479"/>
      <c r="E23" s="115"/>
      <c r="F23" s="44"/>
      <c r="G23" s="44"/>
      <c r="H23" s="44"/>
      <c r="I23" s="44"/>
      <c r="J23" s="118"/>
      <c r="K23" s="118"/>
      <c r="L23" s="44"/>
      <c r="M23" s="174"/>
      <c r="N23" s="550"/>
      <c r="O23" s="551"/>
      <c r="P23" s="552"/>
    </row>
    <row r="24" spans="1:26" ht="38.25" customHeight="1" x14ac:dyDescent="0.3">
      <c r="A24" s="166" t="s">
        <v>31</v>
      </c>
      <c r="B24" s="167"/>
      <c r="C24" s="168"/>
      <c r="D24" s="169"/>
      <c r="E24" s="170"/>
      <c r="F24" s="124"/>
      <c r="G24" s="124"/>
      <c r="H24" s="124"/>
      <c r="I24" s="124"/>
      <c r="J24" s="140"/>
      <c r="K24" s="140"/>
      <c r="L24" s="124"/>
      <c r="M24" s="175"/>
      <c r="N24" s="550"/>
      <c r="O24" s="551"/>
      <c r="P24" s="552"/>
    </row>
    <row r="25" spans="1:26" ht="62.25" customHeight="1" x14ac:dyDescent="0.3">
      <c r="A25" s="480" t="s">
        <v>32</v>
      </c>
      <c r="B25" s="474" t="s">
        <v>33</v>
      </c>
      <c r="C25" s="475"/>
      <c r="D25" s="476"/>
      <c r="E25" s="115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118">
        <v>0</v>
      </c>
      <c r="K25" s="118">
        <f>Hoja1!C80+Hoja1!C81+Hoja1!C82</f>
        <v>108000</v>
      </c>
      <c r="L25" s="114">
        <f>Hoja1!E80</f>
        <v>0</v>
      </c>
      <c r="M25" s="174">
        <v>0</v>
      </c>
      <c r="N25" s="550"/>
      <c r="O25" s="551"/>
      <c r="P25" s="552"/>
    </row>
    <row r="26" spans="1:26" x14ac:dyDescent="0.3">
      <c r="A26" s="166" t="s">
        <v>35</v>
      </c>
      <c r="B26" s="171"/>
      <c r="C26" s="172"/>
      <c r="D26" s="173"/>
      <c r="E26" s="170"/>
      <c r="F26" s="170"/>
      <c r="G26" s="170"/>
      <c r="H26" s="170"/>
      <c r="I26" s="124"/>
      <c r="J26" s="140"/>
      <c r="K26" s="140"/>
      <c r="L26" s="170"/>
      <c r="M26" s="175"/>
      <c r="N26" s="550"/>
      <c r="O26" s="551"/>
      <c r="P26" s="552"/>
    </row>
    <row r="27" spans="1:26" ht="47.25" customHeight="1" x14ac:dyDescent="0.3">
      <c r="A27" s="513" t="s">
        <v>36</v>
      </c>
      <c r="B27" s="510" t="s">
        <v>37</v>
      </c>
      <c r="C27" s="511"/>
      <c r="D27" s="512"/>
      <c r="E27" s="115" t="s">
        <v>38</v>
      </c>
      <c r="F27" s="44" t="s">
        <v>34</v>
      </c>
      <c r="G27" s="44" t="s">
        <v>34</v>
      </c>
      <c r="H27" s="44" t="s">
        <v>34</v>
      </c>
      <c r="I27" s="44" t="s">
        <v>34</v>
      </c>
      <c r="J27" s="118">
        <v>0</v>
      </c>
      <c r="K27" s="118">
        <f>+Hoja1!C77</f>
        <v>10749248</v>
      </c>
      <c r="L27" s="114">
        <f>Hoja1!E77</f>
        <v>150135</v>
      </c>
      <c r="M27" s="174">
        <v>0</v>
      </c>
      <c r="N27" s="550"/>
      <c r="O27" s="551"/>
      <c r="P27" s="552"/>
    </row>
    <row r="28" spans="1:26" ht="47.25" customHeight="1" x14ac:dyDescent="0.3">
      <c r="A28" s="514"/>
      <c r="B28" s="158" t="s">
        <v>39</v>
      </c>
      <c r="C28" s="159"/>
      <c r="D28" s="160"/>
      <c r="E28" s="115" t="s">
        <v>38</v>
      </c>
      <c r="F28" s="44" t="s">
        <v>34</v>
      </c>
      <c r="G28" s="44" t="s">
        <v>34</v>
      </c>
      <c r="H28" s="44" t="s">
        <v>34</v>
      </c>
      <c r="I28" s="44" t="s">
        <v>34</v>
      </c>
      <c r="J28" s="118">
        <v>0</v>
      </c>
      <c r="K28" s="118">
        <f>Hoja1!C83</f>
        <v>2695606</v>
      </c>
      <c r="L28" s="114">
        <f>Hoja1!E83</f>
        <v>2065356.3</v>
      </c>
      <c r="M28" s="174">
        <v>0</v>
      </c>
      <c r="N28" s="550"/>
      <c r="O28" s="551"/>
      <c r="P28" s="552"/>
    </row>
    <row r="29" spans="1:26" x14ac:dyDescent="0.3">
      <c r="A29" s="112"/>
      <c r="B29" s="14"/>
      <c r="C29" s="46"/>
      <c r="D29" s="45"/>
      <c r="E29" s="18"/>
      <c r="F29" s="317">
        <f>SUM(F19:F28)</f>
        <v>20</v>
      </c>
      <c r="G29" s="318">
        <f>SUM(G19:G28)</f>
        <v>102</v>
      </c>
      <c r="H29" s="318">
        <f>SUM(H19:H28)</f>
        <v>0</v>
      </c>
      <c r="I29" s="329">
        <f>H29/G29</f>
        <v>0</v>
      </c>
      <c r="J29" s="119">
        <f>SUM(J19:J28)</f>
        <v>25000000</v>
      </c>
      <c r="K29" s="119">
        <f>SUM(K19:K28)</f>
        <v>60242194</v>
      </c>
      <c r="L29" s="176">
        <f>SUM(L19:L28)</f>
        <v>33353317.800000001</v>
      </c>
      <c r="M29" s="174">
        <f>L29/K29</f>
        <v>0.55365376964856228</v>
      </c>
      <c r="N29" s="553"/>
      <c r="O29" s="554"/>
      <c r="P29" s="555"/>
    </row>
    <row r="30" spans="1:26" ht="7.5" customHeight="1" x14ac:dyDescent="0.35">
      <c r="A30" s="24"/>
      <c r="B30" s="24"/>
      <c r="C30" s="24"/>
      <c r="D30" s="25"/>
      <c r="E30" s="26"/>
      <c r="F30" s="26"/>
      <c r="G30" s="26"/>
      <c r="H30" s="27"/>
      <c r="I30" s="26"/>
      <c r="J30" s="27"/>
      <c r="K30" s="28"/>
      <c r="L30" s="29"/>
      <c r="M30" s="113"/>
      <c r="N30" s="29"/>
      <c r="O30" s="29"/>
      <c r="P30" s="29"/>
    </row>
    <row r="31" spans="1:26" ht="21" x14ac:dyDescent="0.35">
      <c r="A31" s="505" t="s">
        <v>40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</row>
    <row r="32" spans="1:26" ht="8.25" customHeight="1" x14ac:dyDescent="0.35">
      <c r="A32" s="20"/>
      <c r="B32" s="20"/>
      <c r="C32" s="20"/>
      <c r="D32" s="21"/>
      <c r="E32" s="22"/>
      <c r="F32" s="22"/>
      <c r="G32" s="22"/>
      <c r="H32" s="23"/>
      <c r="I32" s="22"/>
      <c r="J32" s="23"/>
      <c r="K32" s="22"/>
      <c r="L32" s="20"/>
      <c r="M32" s="20"/>
      <c r="N32" s="20"/>
      <c r="O32" s="20"/>
      <c r="P32" s="20"/>
    </row>
    <row r="33" spans="1:24" ht="29.25" customHeight="1" x14ac:dyDescent="0.35">
      <c r="A33" s="55"/>
      <c r="B33" s="56"/>
      <c r="C33" s="56"/>
      <c r="D33" s="56"/>
      <c r="E33" s="56"/>
      <c r="F33" s="56"/>
      <c r="G33" s="56"/>
      <c r="H33" s="56"/>
      <c r="I33" s="556" t="s">
        <v>41</v>
      </c>
      <c r="J33" s="557"/>
      <c r="K33" s="557"/>
      <c r="L33" s="557"/>
      <c r="M33" s="557"/>
      <c r="N33" s="557"/>
      <c r="O33" s="557"/>
      <c r="P33" s="558"/>
      <c r="X33" s="331">
        <f>8822105.03/12927590</f>
        <v>0.6824245686937781</v>
      </c>
    </row>
    <row r="34" spans="1:24" ht="60" customHeight="1" x14ac:dyDescent="0.3">
      <c r="A34" s="539" t="s">
        <v>42</v>
      </c>
      <c r="B34" s="539"/>
      <c r="C34" s="539" t="s">
        <v>43</v>
      </c>
      <c r="D34" s="539"/>
      <c r="E34" s="539"/>
      <c r="F34" s="539"/>
      <c r="G34" s="539" t="s">
        <v>44</v>
      </c>
      <c r="H34" s="539"/>
      <c r="I34" s="539" t="s">
        <v>45</v>
      </c>
      <c r="J34" s="539"/>
      <c r="K34" s="539" t="s">
        <v>46</v>
      </c>
      <c r="L34" s="539" t="s">
        <v>47</v>
      </c>
      <c r="M34" s="539" t="s">
        <v>48</v>
      </c>
      <c r="N34" s="539"/>
      <c r="O34" s="539"/>
      <c r="P34" s="539" t="s">
        <v>49</v>
      </c>
    </row>
    <row r="35" spans="1:24" ht="46.5" customHeight="1" thickBot="1" x14ac:dyDescent="0.35">
      <c r="A35" s="539"/>
      <c r="B35" s="539"/>
      <c r="C35" s="539"/>
      <c r="D35" s="539"/>
      <c r="E35" s="539"/>
      <c r="F35" s="539"/>
      <c r="G35" s="539"/>
      <c r="H35" s="539"/>
      <c r="I35" s="539"/>
      <c r="J35" s="539"/>
      <c r="K35" s="540"/>
      <c r="L35" s="540"/>
      <c r="M35" s="539"/>
      <c r="N35" s="539"/>
      <c r="O35" s="539"/>
      <c r="P35" s="539"/>
    </row>
    <row r="36" spans="1:24" ht="150.75" customHeight="1" thickTop="1" x14ac:dyDescent="0.3">
      <c r="A36" s="571" t="s">
        <v>24</v>
      </c>
      <c r="B36" s="572"/>
      <c r="C36" s="562" t="s">
        <v>50</v>
      </c>
      <c r="D36" s="563"/>
      <c r="E36" s="563"/>
      <c r="F36" s="564"/>
      <c r="G36" s="465">
        <v>15835</v>
      </c>
      <c r="H36" s="466"/>
      <c r="I36" s="469">
        <v>0</v>
      </c>
      <c r="J36" s="470"/>
      <c r="K36" s="179">
        <v>0</v>
      </c>
      <c r="L36" s="179">
        <f>H19</f>
        <v>0</v>
      </c>
      <c r="M36" s="501" t="s">
        <v>51</v>
      </c>
      <c r="N36" s="502"/>
      <c r="O36" s="503"/>
      <c r="P36" s="432"/>
    </row>
    <row r="37" spans="1:24" ht="45" customHeight="1" x14ac:dyDescent="0.35">
      <c r="A37" s="573"/>
      <c r="B37" s="574"/>
      <c r="C37" s="565" t="s">
        <v>28</v>
      </c>
      <c r="D37" s="566"/>
      <c r="E37" s="566"/>
      <c r="F37" s="567"/>
      <c r="G37" s="465">
        <v>11</v>
      </c>
      <c r="H37" s="466"/>
      <c r="I37" s="469">
        <v>102</v>
      </c>
      <c r="J37" s="470"/>
      <c r="K37" s="42">
        <v>102</v>
      </c>
      <c r="L37" s="42">
        <f>H20</f>
        <v>0</v>
      </c>
      <c r="M37" s="501" t="s">
        <v>51</v>
      </c>
      <c r="N37" s="502"/>
      <c r="O37" s="503"/>
      <c r="P37" s="433"/>
    </row>
    <row r="38" spans="1:24" ht="57" customHeight="1" thickBot="1" x14ac:dyDescent="0.4">
      <c r="A38" s="575"/>
      <c r="B38" s="576"/>
      <c r="C38" s="568" t="s">
        <v>30</v>
      </c>
      <c r="D38" s="569"/>
      <c r="E38" s="569"/>
      <c r="F38" s="570"/>
      <c r="G38" s="467">
        <v>9</v>
      </c>
      <c r="H38" s="468"/>
      <c r="I38" s="471">
        <v>0</v>
      </c>
      <c r="J38" s="472"/>
      <c r="K38" s="442">
        <v>0</v>
      </c>
      <c r="L38" s="429">
        <f>H21</f>
        <v>0</v>
      </c>
      <c r="M38" s="541" t="s">
        <v>51</v>
      </c>
      <c r="N38" s="542"/>
      <c r="O38" s="543"/>
      <c r="P38" s="443"/>
    </row>
    <row r="39" spans="1:24" ht="36" hidden="1" customHeight="1" thickTop="1" thickBot="1" x14ac:dyDescent="0.4">
      <c r="A39" s="323"/>
      <c r="B39" s="324"/>
      <c r="C39" s="559"/>
      <c r="D39" s="560"/>
      <c r="E39" s="560"/>
      <c r="F39" s="561"/>
      <c r="G39" s="434"/>
      <c r="H39" s="435"/>
      <c r="I39" s="436"/>
      <c r="J39" s="437"/>
      <c r="K39" s="430"/>
      <c r="L39" s="438"/>
      <c r="M39" s="439"/>
      <c r="N39" s="440"/>
      <c r="O39" s="441"/>
      <c r="P39" s="431"/>
    </row>
    <row r="40" spans="1:24" ht="36" customHeight="1" thickTop="1" x14ac:dyDescent="0.35">
      <c r="A40" s="78"/>
      <c r="B40" s="81"/>
      <c r="C40" s="78"/>
      <c r="D40" s="79"/>
      <c r="E40" s="80"/>
      <c r="F40" s="391"/>
      <c r="G40" s="463">
        <f>SUM(G36:H39)</f>
        <v>15855</v>
      </c>
      <c r="H40" s="464"/>
      <c r="I40" s="463">
        <f>SUM(I36:J39)</f>
        <v>102</v>
      </c>
      <c r="J40" s="464"/>
      <c r="K40" s="390">
        <f>SUM(K36:K39)</f>
        <v>102</v>
      </c>
      <c r="L40" s="390">
        <f>SUM(L36:L39)</f>
        <v>0</v>
      </c>
      <c r="M40" s="14"/>
      <c r="N40" s="46"/>
      <c r="O40" s="45"/>
      <c r="P40" s="75"/>
    </row>
    <row r="41" spans="1:24" ht="36" customHeight="1" x14ac:dyDescent="0.35">
      <c r="A41" s="491"/>
      <c r="B41" s="491"/>
      <c r="C41" s="491"/>
      <c r="D41" s="77"/>
      <c r="E41" s="33"/>
      <c r="F41" s="498"/>
      <c r="G41" s="498"/>
      <c r="H41" s="38"/>
      <c r="I41" s="33"/>
      <c r="J41" s="38"/>
      <c r="K41" s="76"/>
      <c r="L41" s="498"/>
      <c r="M41" s="498"/>
      <c r="N41" s="498"/>
      <c r="O41" s="31"/>
      <c r="P41" s="31"/>
    </row>
    <row r="42" spans="1:24" ht="13.5" customHeight="1" x14ac:dyDescent="0.35">
      <c r="A42" s="24"/>
      <c r="B42" s="24"/>
      <c r="C42" s="24"/>
      <c r="D42" s="25"/>
      <c r="E42" s="26"/>
      <c r="F42" s="26"/>
      <c r="G42" s="26"/>
      <c r="H42" s="27"/>
      <c r="I42" s="26"/>
      <c r="J42" s="27"/>
      <c r="K42" s="28"/>
      <c r="L42" s="29"/>
      <c r="M42" s="29"/>
      <c r="N42" s="29"/>
      <c r="O42" s="29"/>
      <c r="P42" s="29"/>
    </row>
    <row r="43" spans="1:24" ht="25.5" customHeight="1" x14ac:dyDescent="0.35">
      <c r="A43" s="518" t="s">
        <v>52</v>
      </c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20"/>
    </row>
    <row r="44" spans="1:24" ht="12.75" customHeight="1" x14ac:dyDescent="0.35">
      <c r="A44" s="47"/>
      <c r="B44" s="48"/>
      <c r="C44" s="48"/>
      <c r="D44" s="49"/>
      <c r="E44" s="50"/>
      <c r="F44" s="50"/>
      <c r="G44" s="50"/>
      <c r="H44" s="51"/>
      <c r="I44" s="22"/>
      <c r="J44" s="23"/>
      <c r="K44" s="22"/>
      <c r="L44" s="20"/>
      <c r="M44" s="20"/>
      <c r="N44" s="20"/>
      <c r="O44" s="20"/>
      <c r="P44" s="20"/>
    </row>
    <row r="45" spans="1:24" ht="21" customHeight="1" x14ac:dyDescent="0.35">
      <c r="A45" s="30" t="s">
        <v>53</v>
      </c>
      <c r="B45" s="31"/>
      <c r="C45" s="31"/>
      <c r="D45" s="32"/>
      <c r="E45" s="33"/>
      <c r="F45" s="33"/>
      <c r="G45" s="33"/>
      <c r="H45" s="34"/>
      <c r="I45" s="521" t="s">
        <v>54</v>
      </c>
      <c r="J45" s="522"/>
      <c r="K45" s="522"/>
      <c r="L45" s="522"/>
      <c r="M45" s="522"/>
      <c r="N45" s="522"/>
      <c r="O45" s="522"/>
      <c r="P45" s="523"/>
    </row>
    <row r="46" spans="1:24" ht="31.5" customHeight="1" x14ac:dyDescent="0.35">
      <c r="A46" s="465" t="s">
        <v>55</v>
      </c>
      <c r="B46" s="508"/>
      <c r="C46" s="508"/>
      <c r="D46" s="508"/>
      <c r="E46" s="466"/>
      <c r="F46" s="31"/>
      <c r="G46" s="31"/>
      <c r="H46" s="37"/>
      <c r="I46" s="544"/>
      <c r="J46" s="545"/>
      <c r="K46" s="545"/>
      <c r="L46" s="545"/>
      <c r="M46" s="545"/>
      <c r="N46" s="545"/>
      <c r="O46" s="545"/>
      <c r="P46" s="546"/>
    </row>
    <row r="47" spans="1:24" ht="56.25" customHeight="1" x14ac:dyDescent="0.35">
      <c r="A47" s="490" t="s">
        <v>56</v>
      </c>
      <c r="B47" s="490"/>
      <c r="C47" s="490"/>
      <c r="D47" s="490" t="s">
        <v>57</v>
      </c>
      <c r="E47" s="490"/>
      <c r="F47" s="33"/>
      <c r="G47" s="33"/>
      <c r="H47" s="34"/>
      <c r="I47" s="544"/>
      <c r="J47" s="545"/>
      <c r="K47" s="545"/>
      <c r="L47" s="545"/>
      <c r="M47" s="545"/>
      <c r="N47" s="545"/>
      <c r="O47" s="545"/>
      <c r="P47" s="546"/>
    </row>
    <row r="48" spans="1:24" ht="45" customHeight="1" x14ac:dyDescent="0.3">
      <c r="A48" s="499">
        <v>0.43740000000000001</v>
      </c>
      <c r="B48" s="525"/>
      <c r="C48" s="500"/>
      <c r="D48" s="526">
        <v>0.48010000000000003</v>
      </c>
      <c r="E48" s="527"/>
      <c r="F48" s="492" t="s">
        <v>58</v>
      </c>
      <c r="G48" s="493"/>
      <c r="H48" s="306">
        <f>A52-A48</f>
        <v>6.9799999999999973E-2</v>
      </c>
      <c r="I48" s="547"/>
      <c r="J48" s="548"/>
      <c r="K48" s="548"/>
      <c r="L48" s="548"/>
      <c r="M48" s="548"/>
      <c r="N48" s="548"/>
      <c r="O48" s="548"/>
      <c r="P48" s="549"/>
    </row>
    <row r="49" spans="1:25" ht="18.75" customHeight="1" x14ac:dyDescent="0.35">
      <c r="A49" s="35"/>
      <c r="B49" s="36"/>
      <c r="C49" s="36"/>
      <c r="D49" s="39"/>
      <c r="E49" s="39"/>
      <c r="F49" s="494" t="s">
        <v>59</v>
      </c>
      <c r="G49" s="495"/>
      <c r="H49" s="306"/>
      <c r="I49" s="524" t="s">
        <v>60</v>
      </c>
      <c r="J49" s="522"/>
      <c r="K49" s="522"/>
      <c r="L49" s="522"/>
      <c r="M49" s="522"/>
      <c r="N49" s="522"/>
      <c r="O49" s="522"/>
      <c r="P49" s="523"/>
    </row>
    <row r="50" spans="1:25" ht="33" customHeight="1" x14ac:dyDescent="0.3">
      <c r="A50" s="528" t="s">
        <v>61</v>
      </c>
      <c r="B50" s="528"/>
      <c r="C50" s="528"/>
      <c r="D50" s="528"/>
      <c r="E50" s="501"/>
      <c r="F50" s="496"/>
      <c r="G50" s="497"/>
      <c r="H50" s="306">
        <f>D52-D48</f>
        <v>7.3553769648562251E-2</v>
      </c>
      <c r="I50" s="533" t="s">
        <v>228</v>
      </c>
      <c r="J50" s="534"/>
      <c r="K50" s="534"/>
      <c r="L50" s="534"/>
      <c r="M50" s="534"/>
      <c r="N50" s="534"/>
      <c r="O50" s="534"/>
      <c r="P50" s="535"/>
    </row>
    <row r="51" spans="1:25" ht="56.25" customHeight="1" x14ac:dyDescent="0.35">
      <c r="A51" s="487" t="s">
        <v>56</v>
      </c>
      <c r="B51" s="488"/>
      <c r="C51" s="489"/>
      <c r="D51" s="490" t="s">
        <v>57</v>
      </c>
      <c r="E51" s="490"/>
      <c r="F51" s="33"/>
      <c r="G51" s="33"/>
      <c r="H51" s="34"/>
      <c r="I51" s="533"/>
      <c r="J51" s="534"/>
      <c r="K51" s="534"/>
      <c r="L51" s="534"/>
      <c r="M51" s="534"/>
      <c r="N51" s="534"/>
      <c r="O51" s="534"/>
      <c r="P51" s="535"/>
    </row>
    <row r="52" spans="1:25" ht="56.25" customHeight="1" x14ac:dyDescent="0.35">
      <c r="A52" s="499">
        <f>32.36%+0.1138+0.0393+0.0305</f>
        <v>0.50719999999999998</v>
      </c>
      <c r="B52" s="525"/>
      <c r="C52" s="500"/>
      <c r="D52" s="499">
        <f>+M29</f>
        <v>0.55365376964856228</v>
      </c>
      <c r="E52" s="500"/>
      <c r="F52" s="40"/>
      <c r="G52" s="40"/>
      <c r="H52" s="41"/>
      <c r="I52" s="536"/>
      <c r="J52" s="537"/>
      <c r="K52" s="537"/>
      <c r="L52" s="537"/>
      <c r="M52" s="537"/>
      <c r="N52" s="537"/>
      <c r="O52" s="537"/>
      <c r="P52" s="538"/>
    </row>
    <row r="53" spans="1:25" ht="56.25" customHeight="1" x14ac:dyDescent="0.35">
      <c r="A53" s="53" t="s">
        <v>62</v>
      </c>
      <c r="B53" s="31"/>
      <c r="C53" s="31"/>
      <c r="D53" s="32"/>
      <c r="E53" s="33"/>
      <c r="F53" s="33"/>
      <c r="G53" s="33"/>
      <c r="H53" s="38"/>
      <c r="I53" s="33"/>
      <c r="J53" s="38"/>
      <c r="K53" s="33"/>
      <c r="L53" s="31"/>
      <c r="M53" s="31"/>
      <c r="N53" s="31"/>
      <c r="O53" s="31"/>
      <c r="P53" s="31"/>
    </row>
    <row r="54" spans="1:25" ht="56.25" customHeight="1" x14ac:dyDescent="0.35">
      <c r="A54" s="501" t="s">
        <v>63</v>
      </c>
      <c r="B54" s="502"/>
      <c r="C54" s="502"/>
      <c r="D54" s="502"/>
      <c r="E54" s="502"/>
      <c r="F54" s="502"/>
      <c r="G54" s="503"/>
      <c r="H54" s="38"/>
      <c r="I54" s="33"/>
      <c r="J54" s="38"/>
      <c r="K54" s="33"/>
      <c r="L54" s="31"/>
      <c r="M54" s="31"/>
      <c r="N54" s="31"/>
      <c r="O54" s="31"/>
      <c r="P54" s="31"/>
      <c r="X54" s="1">
        <v>21000000</v>
      </c>
    </row>
    <row r="55" spans="1:25" ht="56.25" customHeight="1" x14ac:dyDescent="0.35">
      <c r="A55" s="487" t="s">
        <v>64</v>
      </c>
      <c r="B55" s="488"/>
      <c r="C55" s="489"/>
      <c r="D55" s="490" t="s">
        <v>65</v>
      </c>
      <c r="E55" s="490"/>
      <c r="F55" s="490"/>
      <c r="G55" s="374" t="s">
        <v>66</v>
      </c>
      <c r="H55" s="38"/>
      <c r="I55" s="33"/>
      <c r="J55" s="31"/>
      <c r="K55" s="31"/>
      <c r="L55" s="31"/>
      <c r="M55" s="31"/>
      <c r="N55" s="31"/>
      <c r="Y55" s="1">
        <f>X54*8.679455</f>
        <v>182268555.00000003</v>
      </c>
    </row>
    <row r="56" spans="1:25" ht="56.25" customHeight="1" x14ac:dyDescent="0.35">
      <c r="A56" s="499">
        <f>D56/Y55</f>
        <v>0.84020918369600273</v>
      </c>
      <c r="B56" s="525"/>
      <c r="C56" s="500"/>
      <c r="D56" s="529">
        <f>'IAFF (2)'!G123</f>
        <v>153143713.81</v>
      </c>
      <c r="E56" s="525"/>
      <c r="F56" s="500"/>
      <c r="G56" s="375">
        <f>D56/C64</f>
        <v>0.86302459177233037</v>
      </c>
      <c r="H56" s="38"/>
      <c r="I56" s="33"/>
      <c r="J56" s="38"/>
      <c r="K56" s="33"/>
      <c r="L56" s="31"/>
      <c r="M56" s="31"/>
      <c r="N56" s="31"/>
      <c r="O56" s="31"/>
      <c r="P56" s="31"/>
      <c r="X56" s="328">
        <f>'IAFF (2)'!G123</f>
        <v>153143713.81</v>
      </c>
    </row>
    <row r="57" spans="1:25" ht="56.25" customHeight="1" x14ac:dyDescent="0.3"/>
    <row r="58" spans="1:25" ht="56.25" customHeight="1" x14ac:dyDescent="0.3">
      <c r="B58" s="52"/>
      <c r="C58" s="15"/>
      <c r="D58" s="15"/>
      <c r="E58" s="15"/>
      <c r="F58" s="16"/>
      <c r="G58" s="1"/>
      <c r="H58" s="1"/>
      <c r="I58" s="1"/>
      <c r="J58" s="52"/>
      <c r="K58" s="15"/>
      <c r="L58" s="15"/>
      <c r="M58" s="15"/>
      <c r="N58" s="15"/>
      <c r="O58" s="16"/>
    </row>
    <row r="59" spans="1:25" ht="56.25" customHeight="1" x14ac:dyDescent="0.3">
      <c r="B59" s="515" t="s">
        <v>67</v>
      </c>
      <c r="C59" s="516"/>
      <c r="D59" s="516"/>
      <c r="E59" s="516"/>
      <c r="F59" s="517"/>
      <c r="J59" s="515" t="s">
        <v>68</v>
      </c>
      <c r="K59" s="516"/>
      <c r="L59" s="516"/>
      <c r="M59" s="516"/>
      <c r="N59" s="516"/>
      <c r="O59" s="517"/>
    </row>
    <row r="62" spans="1:25" ht="19.5" thickBot="1" x14ac:dyDescent="0.35">
      <c r="D62" s="3" t="s">
        <v>225</v>
      </c>
      <c r="E62" s="2" t="s">
        <v>226</v>
      </c>
      <c r="F62" s="2" t="s">
        <v>227</v>
      </c>
    </row>
    <row r="63" spans="1:25" x14ac:dyDescent="0.3">
      <c r="C63" s="116">
        <v>21000000</v>
      </c>
      <c r="D63" s="450">
        <v>45930</v>
      </c>
      <c r="E63" s="451" t="s">
        <v>221</v>
      </c>
      <c r="F63" s="452">
        <v>6860460</v>
      </c>
      <c r="G63" s="453">
        <f>+F63/K29</f>
        <v>0.1138813104980871</v>
      </c>
    </row>
    <row r="64" spans="1:25" x14ac:dyDescent="0.3">
      <c r="C64" s="116">
        <f>C63*8.45</f>
        <v>177449999.99999997</v>
      </c>
      <c r="D64" s="462">
        <v>45961</v>
      </c>
      <c r="E64" s="446" t="s">
        <v>223</v>
      </c>
      <c r="F64" s="461">
        <v>2373000</v>
      </c>
      <c r="G64" s="455">
        <f>+F64/K29</f>
        <v>3.9390995620113042E-2</v>
      </c>
    </row>
    <row r="65" spans="4:8" x14ac:dyDescent="0.3">
      <c r="D65" s="454"/>
      <c r="E65" s="446" t="s">
        <v>224</v>
      </c>
      <c r="F65" s="461">
        <v>1842480</v>
      </c>
      <c r="G65" s="455">
        <f>+F65/K29</f>
        <v>3.0584543451388904E-2</v>
      </c>
      <c r="H65" s="11">
        <f>7.76761*1.0883</f>
        <v>8.4534899630000009</v>
      </c>
    </row>
    <row r="66" spans="4:8" x14ac:dyDescent="0.3">
      <c r="D66" s="454"/>
      <c r="E66" s="446"/>
      <c r="F66" s="446"/>
      <c r="G66" s="455"/>
    </row>
    <row r="67" spans="4:8" x14ac:dyDescent="0.3">
      <c r="D67" s="454"/>
      <c r="E67" s="446"/>
      <c r="F67" s="446"/>
      <c r="G67" s="455"/>
    </row>
    <row r="68" spans="4:8" x14ac:dyDescent="0.3">
      <c r="D68" s="454"/>
      <c r="E68" s="446"/>
      <c r="F68" s="446"/>
      <c r="G68" s="455"/>
    </row>
    <row r="69" spans="4:8" x14ac:dyDescent="0.3">
      <c r="D69" s="454"/>
      <c r="E69" s="446"/>
      <c r="F69" s="446"/>
      <c r="G69" s="455"/>
    </row>
    <row r="70" spans="4:8" x14ac:dyDescent="0.3">
      <c r="D70" s="454"/>
      <c r="E70" s="446"/>
      <c r="F70" s="446"/>
      <c r="G70" s="455"/>
    </row>
    <row r="71" spans="4:8" x14ac:dyDescent="0.3">
      <c r="D71" s="454"/>
      <c r="E71" s="446"/>
      <c r="F71" s="446"/>
      <c r="G71" s="455"/>
    </row>
    <row r="72" spans="4:8" x14ac:dyDescent="0.3">
      <c r="D72" s="454"/>
      <c r="E72" s="446"/>
      <c r="F72" s="446"/>
      <c r="G72" s="455"/>
    </row>
    <row r="73" spans="4:8" x14ac:dyDescent="0.3">
      <c r="D73" s="454"/>
      <c r="E73" s="446"/>
      <c r="F73" s="446"/>
      <c r="G73" s="455"/>
    </row>
    <row r="74" spans="4:8" x14ac:dyDescent="0.3">
      <c r="D74" s="454"/>
      <c r="E74" s="446"/>
      <c r="F74" s="446"/>
      <c r="G74" s="455"/>
    </row>
    <row r="75" spans="4:8" x14ac:dyDescent="0.3">
      <c r="D75" s="454"/>
      <c r="E75" s="446"/>
      <c r="F75" s="446"/>
      <c r="G75" s="455"/>
    </row>
    <row r="76" spans="4:8" x14ac:dyDescent="0.3">
      <c r="D76" s="454"/>
      <c r="E76" s="446"/>
      <c r="F76" s="446"/>
      <c r="G76" s="455"/>
    </row>
    <row r="77" spans="4:8" x14ac:dyDescent="0.3">
      <c r="D77" s="454"/>
      <c r="E77" s="446"/>
      <c r="F77" s="446"/>
      <c r="G77" s="455"/>
    </row>
    <row r="78" spans="4:8" ht="19.5" thickBot="1" x14ac:dyDescent="0.35">
      <c r="D78" s="456"/>
      <c r="E78" s="457"/>
      <c r="F78" s="457"/>
      <c r="G78" s="458"/>
    </row>
  </sheetData>
  <mergeCells count="77">
    <mergeCell ref="C39:F39"/>
    <mergeCell ref="G34:H35"/>
    <mergeCell ref="C34:F35"/>
    <mergeCell ref="A34:B35"/>
    <mergeCell ref="C36:F36"/>
    <mergeCell ref="C37:F37"/>
    <mergeCell ref="C38:F38"/>
    <mergeCell ref="A36:B38"/>
    <mergeCell ref="N18:P18"/>
    <mergeCell ref="I50:P52"/>
    <mergeCell ref="L41:N41"/>
    <mergeCell ref="L34:L35"/>
    <mergeCell ref="M34:O35"/>
    <mergeCell ref="M36:O36"/>
    <mergeCell ref="M37:O37"/>
    <mergeCell ref="M38:O38"/>
    <mergeCell ref="I40:J40"/>
    <mergeCell ref="I46:P48"/>
    <mergeCell ref="N19:P29"/>
    <mergeCell ref="I33:P33"/>
    <mergeCell ref="K34:K35"/>
    <mergeCell ref="P34:P35"/>
    <mergeCell ref="I34:J35"/>
    <mergeCell ref="B59:F59"/>
    <mergeCell ref="J59:O59"/>
    <mergeCell ref="A43:P43"/>
    <mergeCell ref="I45:P45"/>
    <mergeCell ref="I49:P49"/>
    <mergeCell ref="A51:C51"/>
    <mergeCell ref="D51:E51"/>
    <mergeCell ref="A48:C48"/>
    <mergeCell ref="D48:E48"/>
    <mergeCell ref="A46:E46"/>
    <mergeCell ref="A50:E50"/>
    <mergeCell ref="A47:C47"/>
    <mergeCell ref="D47:E47"/>
    <mergeCell ref="D56:F56"/>
    <mergeCell ref="A56:C56"/>
    <mergeCell ref="A52:C52"/>
    <mergeCell ref="A2:P2"/>
    <mergeCell ref="A15:P15"/>
    <mergeCell ref="A31:P31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B21:D21"/>
    <mergeCell ref="B27:D27"/>
    <mergeCell ref="A27:A28"/>
    <mergeCell ref="A55:C55"/>
    <mergeCell ref="D55:F55"/>
    <mergeCell ref="A41:C41"/>
    <mergeCell ref="F48:G48"/>
    <mergeCell ref="F49:G50"/>
    <mergeCell ref="F41:G41"/>
    <mergeCell ref="D52:E52"/>
    <mergeCell ref="A54:G54"/>
    <mergeCell ref="A19:A22"/>
    <mergeCell ref="B25:D25"/>
    <mergeCell ref="B22:D22"/>
    <mergeCell ref="B23:D23"/>
    <mergeCell ref="A25"/>
    <mergeCell ref="B20:D20"/>
    <mergeCell ref="B19:D19"/>
    <mergeCell ref="G40:H40"/>
    <mergeCell ref="G36:H36"/>
    <mergeCell ref="G37:H37"/>
    <mergeCell ref="G38:H38"/>
    <mergeCell ref="I36:J36"/>
    <mergeCell ref="I37:J37"/>
    <mergeCell ref="I38:J38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rowBreaks count="1" manualBreakCount="1">
    <brk id="59" max="15" man="1"/>
  </rowBreaks>
  <ignoredErrors>
    <ignoredError sqref="I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1"/>
  <sheetViews>
    <sheetView topLeftCell="A13" zoomScale="40" zoomScaleNormal="40" zoomScaleSheetLayoutView="40" workbookViewId="0">
      <selection activeCell="G123" sqref="G123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9.140625" customWidth="1"/>
    <col min="6" max="6" width="24.28515625" customWidth="1"/>
    <col min="7" max="7" width="33" customWidth="1"/>
    <col min="8" max="11" width="24.28515625" customWidth="1"/>
    <col min="12" max="12" width="24.28515625" style="157" customWidth="1"/>
    <col min="13" max="13" width="32.7109375" bestFit="1" customWidth="1"/>
    <col min="14" max="14" width="29.42578125" customWidth="1"/>
    <col min="15" max="17" width="24.28515625" customWidth="1"/>
    <col min="18" max="18" width="30.28515625" customWidth="1"/>
    <col min="19" max="19" width="24.28515625" style="157" customWidth="1"/>
    <col min="20" max="20" width="10" customWidth="1"/>
    <col min="21" max="21" width="10.28515625" customWidth="1"/>
    <col min="22" max="22" width="19.28515625" customWidth="1"/>
    <col min="23" max="23" width="5" customWidth="1"/>
  </cols>
  <sheetData>
    <row r="1" spans="1:23" s="1" customFormat="1" ht="46.5" customHeight="1" x14ac:dyDescent="0.9">
      <c r="A1" s="743" t="s">
        <v>69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743"/>
      <c r="U1" s="743"/>
      <c r="V1" s="743"/>
      <c r="W1" s="1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20"/>
      <c r="M2" s="4"/>
      <c r="N2" s="4"/>
      <c r="O2" s="4"/>
      <c r="P2" s="4"/>
      <c r="Q2" s="4"/>
      <c r="R2" s="4"/>
      <c r="S2" s="120"/>
      <c r="T2" s="4"/>
      <c r="U2" s="4"/>
      <c r="V2" s="4"/>
      <c r="W2" s="4"/>
    </row>
    <row r="3" spans="1:23" s="1" customFormat="1" ht="21" x14ac:dyDescent="0.35">
      <c r="A3" s="505" t="s">
        <v>70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178"/>
    </row>
    <row r="4" spans="1:23" s="1" customFormat="1" ht="26.25" x14ac:dyDescent="0.4">
      <c r="A4" s="744" t="s">
        <v>2</v>
      </c>
      <c r="B4" s="744"/>
      <c r="C4" s="57">
        <v>2025</v>
      </c>
      <c r="D4" s="13"/>
      <c r="G4" s="745" t="s">
        <v>3</v>
      </c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90"/>
    </row>
    <row r="5" spans="1:23" s="1" customFormat="1" ht="26.25" x14ac:dyDescent="0.4">
      <c r="A5" s="183"/>
      <c r="B5" s="183" t="s">
        <v>4</v>
      </c>
      <c r="C5" s="57" t="s">
        <v>222</v>
      </c>
      <c r="D5" s="13"/>
      <c r="E5" s="61"/>
      <c r="F5" s="61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  <c r="T5" s="745"/>
      <c r="U5" s="745"/>
      <c r="V5" s="745"/>
      <c r="W5" s="90"/>
    </row>
    <row r="6" spans="1:23" s="1" customFormat="1" ht="26.25" x14ac:dyDescent="0.4">
      <c r="A6" s="744" t="s">
        <v>5</v>
      </c>
      <c r="B6" s="744"/>
      <c r="C6" s="57">
        <v>11130008</v>
      </c>
      <c r="D6" s="13"/>
      <c r="E6" s="61"/>
      <c r="F6" s="61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90"/>
    </row>
    <row r="7" spans="1:23" s="1" customFormat="1" ht="26.25" x14ac:dyDescent="0.4">
      <c r="A7" s="744" t="s">
        <v>6</v>
      </c>
      <c r="B7" s="744"/>
      <c r="C7" s="57" t="s">
        <v>7</v>
      </c>
      <c r="D7" s="13"/>
      <c r="E7" s="61"/>
      <c r="F7" s="61"/>
      <c r="G7" s="745"/>
      <c r="H7" s="745"/>
      <c r="I7" s="745"/>
      <c r="J7" s="745"/>
      <c r="K7" s="745"/>
      <c r="L7" s="745"/>
      <c r="M7" s="745"/>
      <c r="N7" s="745"/>
      <c r="O7" s="745"/>
      <c r="P7" s="745"/>
      <c r="Q7" s="745"/>
      <c r="R7" s="745"/>
      <c r="S7" s="745"/>
      <c r="T7" s="745"/>
      <c r="U7" s="745"/>
      <c r="V7" s="745"/>
      <c r="W7" s="90"/>
    </row>
    <row r="8" spans="1:23" s="1" customFormat="1" ht="26.25" x14ac:dyDescent="0.3">
      <c r="A8" s="746" t="s">
        <v>8</v>
      </c>
      <c r="B8" s="746"/>
      <c r="C8" s="57" t="s">
        <v>9</v>
      </c>
      <c r="D8" s="6"/>
      <c r="E8" s="61"/>
      <c r="F8" s="61"/>
      <c r="G8" s="745"/>
      <c r="H8" s="745"/>
      <c r="I8" s="745"/>
      <c r="J8" s="745"/>
      <c r="K8" s="745"/>
      <c r="L8" s="745"/>
      <c r="M8" s="745"/>
      <c r="N8" s="745"/>
      <c r="O8" s="745"/>
      <c r="P8" s="745"/>
      <c r="Q8" s="745"/>
      <c r="R8" s="745"/>
      <c r="S8" s="745"/>
      <c r="T8" s="745"/>
      <c r="U8" s="745"/>
      <c r="V8" s="745"/>
      <c r="W8" s="90"/>
    </row>
    <row r="9" spans="1:23" s="1" customFormat="1" ht="26.25" x14ac:dyDescent="0.3">
      <c r="A9" s="184"/>
      <c r="B9" s="184" t="s">
        <v>10</v>
      </c>
      <c r="C9" s="57" t="s">
        <v>11</v>
      </c>
      <c r="D9" s="6"/>
      <c r="E9" s="61"/>
      <c r="F9" s="61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90"/>
    </row>
    <row r="10" spans="1:23" s="1" customFormat="1" ht="26.25" x14ac:dyDescent="0.4">
      <c r="A10" s="744" t="s">
        <v>71</v>
      </c>
      <c r="B10" s="744"/>
      <c r="C10" s="371">
        <v>42661</v>
      </c>
      <c r="D10" s="121"/>
      <c r="E10" s="61"/>
      <c r="F10" s="61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90"/>
    </row>
    <row r="11" spans="1:23" s="1" customFormat="1" ht="26.25" x14ac:dyDescent="0.4">
      <c r="A11" s="744" t="s">
        <v>72</v>
      </c>
      <c r="B11" s="744"/>
      <c r="C11" s="371">
        <v>45838</v>
      </c>
      <c r="D11" s="6"/>
      <c r="E11" s="61"/>
      <c r="F11" s="61"/>
      <c r="G11" s="745"/>
      <c r="H11" s="745"/>
      <c r="I11" s="745"/>
      <c r="J11" s="745"/>
      <c r="K11" s="745"/>
      <c r="L11" s="745"/>
      <c r="M11" s="745"/>
      <c r="N11" s="745"/>
      <c r="O11" s="745"/>
      <c r="P11" s="745"/>
      <c r="Q11" s="745"/>
      <c r="R11" s="745"/>
      <c r="S11" s="745"/>
      <c r="T11" s="745"/>
      <c r="U11" s="745"/>
      <c r="V11" s="745"/>
      <c r="W11" s="90"/>
    </row>
    <row r="13" spans="1:23" ht="21" x14ac:dyDescent="0.35">
      <c r="A13" s="505" t="s">
        <v>73</v>
      </c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178"/>
    </row>
    <row r="14" spans="1:23" ht="21" x14ac:dyDescent="0.25">
      <c r="A14" s="747"/>
      <c r="B14" s="747"/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182"/>
    </row>
    <row r="15" spans="1:23" ht="34.5" thickBot="1" x14ac:dyDescent="0.55000000000000004">
      <c r="A15" s="73" t="s">
        <v>74</v>
      </c>
      <c r="B15" s="679">
        <v>2018</v>
      </c>
      <c r="C15" s="680"/>
      <c r="D15" s="680"/>
      <c r="E15" s="680"/>
      <c r="F15" s="680"/>
      <c r="G15" s="680"/>
      <c r="H15" s="680"/>
      <c r="I15" s="680"/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1"/>
      <c r="U15" s="682"/>
      <c r="V15" s="22"/>
      <c r="W15" s="22"/>
    </row>
    <row r="16" spans="1:23" ht="159" customHeight="1" thickBot="1" x14ac:dyDescent="0.3">
      <c r="A16" s="683" t="s">
        <v>75</v>
      </c>
      <c r="B16" s="686" t="s">
        <v>76</v>
      </c>
      <c r="C16" s="687"/>
      <c r="D16" s="688"/>
      <c r="E16" s="688" t="s">
        <v>77</v>
      </c>
      <c r="F16" s="695" t="s">
        <v>78</v>
      </c>
      <c r="G16" s="696"/>
      <c r="H16" s="697" t="s">
        <v>79</v>
      </c>
      <c r="I16" s="698"/>
      <c r="J16" s="697" t="s">
        <v>80</v>
      </c>
      <c r="K16" s="699"/>
      <c r="L16" s="698"/>
      <c r="M16" s="700" t="s">
        <v>81</v>
      </c>
      <c r="N16" s="701"/>
      <c r="O16" s="702"/>
      <c r="P16" s="703" t="s">
        <v>82</v>
      </c>
      <c r="Q16" s="704"/>
      <c r="R16" s="705" t="s">
        <v>83</v>
      </c>
      <c r="S16" s="706"/>
      <c r="T16" s="707" t="s">
        <v>84</v>
      </c>
      <c r="U16" s="708"/>
      <c r="V16" s="709"/>
    </row>
    <row r="17" spans="1:23" ht="30" customHeight="1" x14ac:dyDescent="0.25">
      <c r="A17" s="684"/>
      <c r="B17" s="689"/>
      <c r="C17" s="690"/>
      <c r="D17" s="691"/>
      <c r="E17" s="691"/>
      <c r="F17" s="622" t="s">
        <v>85</v>
      </c>
      <c r="G17" s="624" t="s">
        <v>86</v>
      </c>
      <c r="H17" s="626" t="s">
        <v>87</v>
      </c>
      <c r="I17" s="628" t="s">
        <v>88</v>
      </c>
      <c r="J17" s="593" t="s">
        <v>89</v>
      </c>
      <c r="K17" s="595" t="s">
        <v>90</v>
      </c>
      <c r="L17" s="597" t="s">
        <v>91</v>
      </c>
      <c r="M17" s="595" t="s">
        <v>89</v>
      </c>
      <c r="N17" s="595" t="s">
        <v>90</v>
      </c>
      <c r="O17" s="600" t="s">
        <v>91</v>
      </c>
      <c r="P17" s="602" t="s">
        <v>92</v>
      </c>
      <c r="Q17" s="604" t="s">
        <v>93</v>
      </c>
      <c r="R17" s="606" t="s">
        <v>94</v>
      </c>
      <c r="S17" s="582" t="s">
        <v>93</v>
      </c>
      <c r="T17" s="710"/>
      <c r="U17" s="711"/>
      <c r="V17" s="712"/>
    </row>
    <row r="18" spans="1:23" ht="66" customHeight="1" thickBot="1" x14ac:dyDescent="0.3">
      <c r="A18" s="685"/>
      <c r="B18" s="692"/>
      <c r="C18" s="693"/>
      <c r="D18" s="694"/>
      <c r="E18" s="694"/>
      <c r="F18" s="623"/>
      <c r="G18" s="625"/>
      <c r="H18" s="627"/>
      <c r="I18" s="629"/>
      <c r="J18" s="594"/>
      <c r="K18" s="596"/>
      <c r="L18" s="598"/>
      <c r="M18" s="599"/>
      <c r="N18" s="596"/>
      <c r="O18" s="601"/>
      <c r="P18" s="603"/>
      <c r="Q18" s="605"/>
      <c r="R18" s="607"/>
      <c r="S18" s="583"/>
      <c r="T18" s="713"/>
      <c r="U18" s="714"/>
      <c r="V18" s="715"/>
    </row>
    <row r="19" spans="1:23" s="203" customFormat="1" ht="108.75" customHeight="1" x14ac:dyDescent="0.35">
      <c r="A19" s="186" t="s">
        <v>95</v>
      </c>
      <c r="B19" s="738"/>
      <c r="C19" s="739"/>
      <c r="D19" s="740"/>
      <c r="E19" s="187"/>
      <c r="F19" s="188"/>
      <c r="G19" s="189"/>
      <c r="H19" s="190"/>
      <c r="I19" s="191"/>
      <c r="J19" s="190"/>
      <c r="K19" s="192"/>
      <c r="L19" s="193"/>
      <c r="M19" s="194"/>
      <c r="N19" s="195"/>
      <c r="O19" s="196"/>
      <c r="P19" s="190"/>
      <c r="Q19" s="197"/>
      <c r="R19" s="198"/>
      <c r="S19" s="199"/>
      <c r="T19" s="200"/>
      <c r="U19" s="201"/>
      <c r="V19" s="202"/>
    </row>
    <row r="20" spans="1:23" s="221" customFormat="1" ht="75.75" customHeight="1" x14ac:dyDescent="0.25">
      <c r="A20" s="204" t="s">
        <v>96</v>
      </c>
      <c r="B20" s="728" t="s">
        <v>97</v>
      </c>
      <c r="C20" s="729"/>
      <c r="D20" s="730"/>
      <c r="E20" s="205" t="s">
        <v>98</v>
      </c>
      <c r="F20" s="206">
        <v>4</v>
      </c>
      <c r="G20" s="207">
        <v>8700000</v>
      </c>
      <c r="H20" s="208"/>
      <c r="I20" s="209"/>
      <c r="J20" s="208"/>
      <c r="K20" s="210"/>
      <c r="L20" s="211"/>
      <c r="M20" s="212">
        <f>G20</f>
        <v>8700000</v>
      </c>
      <c r="N20" s="213">
        <v>0</v>
      </c>
      <c r="O20" s="214">
        <v>0</v>
      </c>
      <c r="P20" s="208">
        <v>0</v>
      </c>
      <c r="Q20" s="215">
        <v>0</v>
      </c>
      <c r="R20" s="216">
        <v>0</v>
      </c>
      <c r="S20" s="217">
        <v>0</v>
      </c>
      <c r="T20" s="218"/>
      <c r="U20" s="219"/>
      <c r="V20" s="220"/>
    </row>
    <row r="21" spans="1:23" s="221" customFormat="1" ht="75.75" customHeight="1" x14ac:dyDescent="0.25">
      <c r="A21" s="204" t="s">
        <v>99</v>
      </c>
      <c r="B21" s="728" t="s">
        <v>100</v>
      </c>
      <c r="C21" s="729"/>
      <c r="D21" s="730"/>
      <c r="E21" s="205" t="s">
        <v>98</v>
      </c>
      <c r="F21" s="206">
        <v>4</v>
      </c>
      <c r="G21" s="207">
        <v>1942328</v>
      </c>
      <c r="H21" s="208"/>
      <c r="I21" s="209"/>
      <c r="J21" s="208"/>
      <c r="K21" s="210"/>
      <c r="L21" s="211"/>
      <c r="M21" s="212">
        <f>G21</f>
        <v>1942328</v>
      </c>
      <c r="N21" s="213">
        <v>0</v>
      </c>
      <c r="O21" s="214">
        <v>0</v>
      </c>
      <c r="P21" s="208">
        <v>0</v>
      </c>
      <c r="Q21" s="215">
        <v>0</v>
      </c>
      <c r="R21" s="216">
        <v>0</v>
      </c>
      <c r="S21" s="217">
        <v>0</v>
      </c>
      <c r="T21" s="218"/>
      <c r="U21" s="219"/>
      <c r="V21" s="220"/>
    </row>
    <row r="22" spans="1:23" s="221" customFormat="1" ht="75.75" customHeight="1" thickBot="1" x14ac:dyDescent="0.3">
      <c r="A22" s="222" t="s">
        <v>36</v>
      </c>
      <c r="B22" s="731" t="s">
        <v>101</v>
      </c>
      <c r="C22" s="732"/>
      <c r="D22" s="733"/>
      <c r="E22" s="405" t="s">
        <v>34</v>
      </c>
      <c r="F22" s="406" t="s">
        <v>34</v>
      </c>
      <c r="G22" s="407">
        <v>9295932</v>
      </c>
      <c r="H22" s="408"/>
      <c r="I22" s="409"/>
      <c r="J22" s="408"/>
      <c r="K22" s="408"/>
      <c r="L22" s="410"/>
      <c r="M22" s="411">
        <f>G22</f>
        <v>9295932</v>
      </c>
      <c r="N22" s="412">
        <v>5478204</v>
      </c>
      <c r="O22" s="413">
        <f>N22/M22</f>
        <v>0.5893119700101076</v>
      </c>
      <c r="P22" s="408" t="s">
        <v>34</v>
      </c>
      <c r="Q22" s="414" t="s">
        <v>34</v>
      </c>
      <c r="R22" s="415">
        <f>N22</f>
        <v>5478204</v>
      </c>
      <c r="S22" s="416">
        <f>O22</f>
        <v>0.5893119700101076</v>
      </c>
      <c r="T22" s="417"/>
      <c r="U22" s="418"/>
      <c r="V22" s="419"/>
    </row>
    <row r="23" spans="1:23" s="203" customFormat="1" ht="49.5" customHeight="1" thickBot="1" x14ac:dyDescent="0.4">
      <c r="A23" s="396"/>
      <c r="B23" s="397"/>
      <c r="C23" s="397"/>
      <c r="D23" s="397"/>
      <c r="E23" s="398"/>
      <c r="F23" s="399"/>
      <c r="G23" s="420">
        <f>SUM(G19:G22)</f>
        <v>19938260</v>
      </c>
      <c r="H23" s="399"/>
      <c r="I23" s="399"/>
      <c r="J23" s="397"/>
      <c r="K23" s="397"/>
      <c r="L23" s="400"/>
      <c r="M23" s="420">
        <f>SUM(M20:M22)</f>
        <v>19938260</v>
      </c>
      <c r="N23" s="420">
        <f>SUM(N20:N22)</f>
        <v>5478204</v>
      </c>
      <c r="O23" s="421">
        <f>N23/M23</f>
        <v>0.27475837911633211</v>
      </c>
      <c r="P23" s="397"/>
      <c r="Q23" s="401"/>
      <c r="R23" s="402"/>
      <c r="S23" s="421">
        <f>+O23</f>
        <v>0.27475837911633211</v>
      </c>
      <c r="T23" s="403"/>
      <c r="U23" s="403"/>
      <c r="V23" s="404"/>
    </row>
    <row r="24" spans="1:23" ht="21.75" thickBot="1" x14ac:dyDescent="0.4">
      <c r="A24" s="734"/>
      <c r="B24" s="735"/>
      <c r="C24" s="735"/>
      <c r="D24" s="735"/>
      <c r="E24" s="735"/>
      <c r="F24" s="735"/>
      <c r="G24" s="735"/>
      <c r="H24" s="735"/>
      <c r="I24" s="735"/>
      <c r="J24" s="735"/>
      <c r="K24" s="735"/>
      <c r="L24" s="735"/>
      <c r="M24" s="735"/>
      <c r="N24" s="735"/>
      <c r="O24" s="735"/>
      <c r="P24" s="735"/>
      <c r="Q24" s="735"/>
      <c r="R24" s="735"/>
      <c r="S24" s="735"/>
      <c r="T24" s="736"/>
      <c r="U24" s="736"/>
      <c r="V24" s="737"/>
      <c r="W24" s="72"/>
    </row>
    <row r="25" spans="1:23" ht="34.5" thickBot="1" x14ac:dyDescent="0.55000000000000004">
      <c r="A25" s="73" t="s">
        <v>74</v>
      </c>
      <c r="B25" s="679">
        <v>2019</v>
      </c>
      <c r="C25" s="680"/>
      <c r="D25" s="680"/>
      <c r="E25" s="680"/>
      <c r="F25" s="680"/>
      <c r="G25" s="680"/>
      <c r="H25" s="680"/>
      <c r="I25" s="680"/>
      <c r="J25" s="680"/>
      <c r="K25" s="680"/>
      <c r="L25" s="680"/>
      <c r="M25" s="680"/>
      <c r="N25" s="680"/>
      <c r="O25" s="680"/>
      <c r="P25" s="680"/>
      <c r="Q25" s="680"/>
      <c r="R25" s="680"/>
      <c r="S25" s="680"/>
      <c r="T25" s="681"/>
      <c r="U25" s="682"/>
      <c r="V25" s="22"/>
      <c r="W25" s="22"/>
    </row>
    <row r="26" spans="1:23" ht="159" customHeight="1" thickBot="1" x14ac:dyDescent="0.3">
      <c r="A26" s="683" t="s">
        <v>75</v>
      </c>
      <c r="B26" s="686" t="s">
        <v>76</v>
      </c>
      <c r="C26" s="687"/>
      <c r="D26" s="688"/>
      <c r="E26" s="688" t="s">
        <v>77</v>
      </c>
      <c r="F26" s="695" t="s">
        <v>78</v>
      </c>
      <c r="G26" s="696"/>
      <c r="H26" s="697" t="s">
        <v>79</v>
      </c>
      <c r="I26" s="698"/>
      <c r="J26" s="697" t="s">
        <v>80</v>
      </c>
      <c r="K26" s="699"/>
      <c r="L26" s="698"/>
      <c r="M26" s="700" t="s">
        <v>81</v>
      </c>
      <c r="N26" s="701"/>
      <c r="O26" s="702"/>
      <c r="P26" s="703" t="s">
        <v>82</v>
      </c>
      <c r="Q26" s="704"/>
      <c r="R26" s="705" t="s">
        <v>83</v>
      </c>
      <c r="S26" s="706"/>
      <c r="T26" s="707" t="s">
        <v>84</v>
      </c>
      <c r="U26" s="708"/>
      <c r="V26" s="709"/>
      <c r="W26" s="69"/>
    </row>
    <row r="27" spans="1:23" ht="30" customHeight="1" x14ac:dyDescent="0.25">
      <c r="A27" s="684"/>
      <c r="B27" s="689"/>
      <c r="C27" s="690"/>
      <c r="D27" s="691"/>
      <c r="E27" s="691"/>
      <c r="F27" s="622" t="s">
        <v>85</v>
      </c>
      <c r="G27" s="624" t="s">
        <v>86</v>
      </c>
      <c r="H27" s="626" t="s">
        <v>87</v>
      </c>
      <c r="I27" s="628" t="s">
        <v>88</v>
      </c>
      <c r="J27" s="593" t="s">
        <v>89</v>
      </c>
      <c r="K27" s="595" t="s">
        <v>90</v>
      </c>
      <c r="L27" s="597" t="s">
        <v>91</v>
      </c>
      <c r="M27" s="595" t="s">
        <v>89</v>
      </c>
      <c r="N27" s="595" t="s">
        <v>90</v>
      </c>
      <c r="O27" s="600" t="s">
        <v>91</v>
      </c>
      <c r="P27" s="602" t="s">
        <v>92</v>
      </c>
      <c r="Q27" s="604" t="s">
        <v>93</v>
      </c>
      <c r="R27" s="606" t="s">
        <v>94</v>
      </c>
      <c r="S27" s="582" t="s">
        <v>93</v>
      </c>
      <c r="T27" s="710"/>
      <c r="U27" s="711"/>
      <c r="V27" s="712"/>
      <c r="W27" s="70"/>
    </row>
    <row r="28" spans="1:23" ht="66" customHeight="1" thickBot="1" x14ac:dyDescent="0.3">
      <c r="A28" s="685"/>
      <c r="B28" s="692"/>
      <c r="C28" s="693"/>
      <c r="D28" s="694"/>
      <c r="E28" s="694"/>
      <c r="F28" s="623"/>
      <c r="G28" s="625"/>
      <c r="H28" s="627"/>
      <c r="I28" s="629"/>
      <c r="J28" s="594"/>
      <c r="K28" s="596"/>
      <c r="L28" s="598"/>
      <c r="M28" s="599"/>
      <c r="N28" s="596"/>
      <c r="O28" s="601"/>
      <c r="P28" s="603"/>
      <c r="Q28" s="605"/>
      <c r="R28" s="607"/>
      <c r="S28" s="583"/>
      <c r="T28" s="713"/>
      <c r="U28" s="714"/>
      <c r="V28" s="715"/>
      <c r="W28" s="70"/>
    </row>
    <row r="29" spans="1:23" s="129" customFormat="1" ht="129" customHeight="1" x14ac:dyDescent="0.25">
      <c r="A29" s="223" t="s">
        <v>102</v>
      </c>
      <c r="B29" s="725"/>
      <c r="C29" s="726"/>
      <c r="D29" s="727"/>
      <c r="E29" s="181"/>
      <c r="F29" s="64"/>
      <c r="G29" s="65"/>
      <c r="H29" s="59"/>
      <c r="I29" s="98"/>
      <c r="J29" s="59"/>
      <c r="K29" s="60"/>
      <c r="L29" s="62"/>
      <c r="M29" s="67"/>
      <c r="N29" s="67"/>
      <c r="O29" s="132"/>
      <c r="P29" s="59"/>
      <c r="Q29" s="99"/>
      <c r="R29" s="100"/>
      <c r="S29" s="101"/>
      <c r="T29" s="133"/>
      <c r="U29" s="134"/>
      <c r="V29" s="135"/>
      <c r="W29" s="136"/>
    </row>
    <row r="30" spans="1:23" s="129" customFormat="1" ht="52.5" customHeight="1" x14ac:dyDescent="0.25">
      <c r="A30" s="716" t="s">
        <v>96</v>
      </c>
      <c r="B30" s="719" t="s">
        <v>103</v>
      </c>
      <c r="C30" s="720"/>
      <c r="D30" s="721"/>
      <c r="E30" s="122" t="s">
        <v>29</v>
      </c>
      <c r="F30" s="130">
        <v>4</v>
      </c>
      <c r="G30" s="137">
        <v>10160400</v>
      </c>
      <c r="H30" s="138">
        <v>43466</v>
      </c>
      <c r="I30" s="139">
        <v>43585</v>
      </c>
      <c r="J30" s="102">
        <v>4</v>
      </c>
      <c r="K30" s="44">
        <v>4</v>
      </c>
      <c r="L30" s="123">
        <f>K30/J30</f>
        <v>1</v>
      </c>
      <c r="M30" s="140">
        <v>11589400</v>
      </c>
      <c r="N30" s="140">
        <v>10019989.68</v>
      </c>
      <c r="O30" s="141">
        <f>N30/M30</f>
        <v>0.8645822631024902</v>
      </c>
      <c r="P30" s="142">
        <f>K30</f>
        <v>4</v>
      </c>
      <c r="Q30" s="155">
        <f>+L30</f>
        <v>1</v>
      </c>
      <c r="R30" s="104">
        <f>N30</f>
        <v>10019989.68</v>
      </c>
      <c r="S30" s="125">
        <f>O30</f>
        <v>0.8645822631024902</v>
      </c>
      <c r="T30" s="126"/>
      <c r="U30" s="127"/>
      <c r="V30" s="128"/>
      <c r="W30" s="143"/>
    </row>
    <row r="31" spans="1:23" s="129" customFormat="1" ht="66.75" customHeight="1" x14ac:dyDescent="0.25">
      <c r="A31" s="717"/>
      <c r="B31" s="719" t="s">
        <v>104</v>
      </c>
      <c r="C31" s="720"/>
      <c r="D31" s="721"/>
      <c r="E31" s="122" t="s">
        <v>26</v>
      </c>
      <c r="F31" s="130">
        <v>16824</v>
      </c>
      <c r="G31" s="137">
        <v>95715930</v>
      </c>
      <c r="H31" s="138">
        <v>43585</v>
      </c>
      <c r="I31" s="139">
        <v>43830</v>
      </c>
      <c r="J31" s="102">
        <v>16824</v>
      </c>
      <c r="K31" s="44">
        <v>0</v>
      </c>
      <c r="L31" s="123">
        <f t="shared" ref="L31" si="0">K31/J31</f>
        <v>0</v>
      </c>
      <c r="M31" s="140">
        <v>95715930</v>
      </c>
      <c r="N31" s="140">
        <v>43480</v>
      </c>
      <c r="O31" s="141">
        <f t="shared" ref="O31:O33" si="1">N31/M31</f>
        <v>4.542608529217655E-4</v>
      </c>
      <c r="P31" s="142">
        <f t="shared" ref="P31:Q33" si="2">K31</f>
        <v>0</v>
      </c>
      <c r="Q31" s="155">
        <f>+L31</f>
        <v>0</v>
      </c>
      <c r="R31" s="104">
        <f t="shared" ref="R31:S35" si="3">N31</f>
        <v>43480</v>
      </c>
      <c r="S31" s="125">
        <f t="shared" si="3"/>
        <v>4.542608529217655E-4</v>
      </c>
      <c r="T31" s="126"/>
      <c r="U31" s="127"/>
      <c r="V31" s="128"/>
      <c r="W31" s="143"/>
    </row>
    <row r="32" spans="1:23" s="129" customFormat="1" ht="53.25" customHeight="1" x14ac:dyDescent="0.25">
      <c r="A32" s="718"/>
      <c r="B32" s="719" t="s">
        <v>28</v>
      </c>
      <c r="C32" s="720"/>
      <c r="D32" s="721"/>
      <c r="E32" s="122" t="s">
        <v>29</v>
      </c>
      <c r="F32" s="130"/>
      <c r="G32" s="137"/>
      <c r="H32" s="102"/>
      <c r="I32" s="103"/>
      <c r="J32" s="102" t="s">
        <v>34</v>
      </c>
      <c r="K32" s="102" t="s">
        <v>34</v>
      </c>
      <c r="L32" s="123"/>
      <c r="M32" s="140">
        <v>14756210</v>
      </c>
      <c r="N32" s="140">
        <v>2636510</v>
      </c>
      <c r="O32" s="141">
        <f t="shared" si="1"/>
        <v>0.17867121706725508</v>
      </c>
      <c r="P32" s="224" t="str">
        <f t="shared" si="2"/>
        <v>N/A</v>
      </c>
      <c r="Q32" s="225">
        <f t="shared" si="2"/>
        <v>0</v>
      </c>
      <c r="R32" s="226">
        <f t="shared" si="3"/>
        <v>2636510</v>
      </c>
      <c r="S32" s="125">
        <f t="shared" si="3"/>
        <v>0.17867121706725508</v>
      </c>
      <c r="T32" s="126"/>
      <c r="U32" s="127"/>
      <c r="V32" s="128"/>
      <c r="W32" s="143"/>
    </row>
    <row r="33" spans="1:23" s="129" customFormat="1" ht="53.25" customHeight="1" x14ac:dyDescent="0.25">
      <c r="A33" s="227" t="s">
        <v>36</v>
      </c>
      <c r="B33" s="719" t="s">
        <v>39</v>
      </c>
      <c r="C33" s="720"/>
      <c r="D33" s="721"/>
      <c r="E33" s="122" t="s">
        <v>38</v>
      </c>
      <c r="F33" s="144"/>
      <c r="G33" s="145"/>
      <c r="H33" s="138"/>
      <c r="I33" s="139"/>
      <c r="J33" s="142" t="s">
        <v>34</v>
      </c>
      <c r="K33" s="142" t="s">
        <v>34</v>
      </c>
      <c r="L33" s="123"/>
      <c r="M33" s="140">
        <v>10059539</v>
      </c>
      <c r="N33" s="140">
        <v>4373636.1100000003</v>
      </c>
      <c r="O33" s="141">
        <f t="shared" si="1"/>
        <v>0.43477500410307074</v>
      </c>
      <c r="P33" s="224" t="str">
        <f t="shared" si="2"/>
        <v>N/A</v>
      </c>
      <c r="Q33" s="225">
        <f t="shared" si="2"/>
        <v>0</v>
      </c>
      <c r="R33" s="226">
        <f t="shared" si="3"/>
        <v>4373636.1100000003</v>
      </c>
      <c r="S33" s="125">
        <f t="shared" si="3"/>
        <v>0.43477500410307074</v>
      </c>
      <c r="T33" s="126"/>
      <c r="U33" s="127"/>
      <c r="V33" s="128"/>
      <c r="W33" s="136"/>
    </row>
    <row r="34" spans="1:23" ht="23.25" customHeight="1" thickBot="1" x14ac:dyDescent="0.5">
      <c r="A34" s="228"/>
      <c r="B34" s="722"/>
      <c r="C34" s="723"/>
      <c r="D34" s="724"/>
      <c r="E34" s="74"/>
      <c r="F34" s="66"/>
      <c r="G34" s="137">
        <f>SUM(G30:G33)</f>
        <v>105876330</v>
      </c>
      <c r="H34" s="105"/>
      <c r="I34" s="106"/>
      <c r="J34" s="63">
        <f>SUM(J30:J33)</f>
        <v>16828</v>
      </c>
      <c r="K34" s="63">
        <f>SUM(K30:K33)</f>
        <v>4</v>
      </c>
      <c r="L34" s="147">
        <f>K34/J34</f>
        <v>2.3769907297361539E-4</v>
      </c>
      <c r="M34" s="68"/>
      <c r="N34" s="148"/>
      <c r="O34" s="149"/>
      <c r="P34" s="63"/>
      <c r="Q34" s="107"/>
      <c r="R34" s="108"/>
      <c r="S34" s="125"/>
      <c r="T34" s="109"/>
      <c r="U34" s="110"/>
      <c r="V34" s="111"/>
      <c r="W34" s="71"/>
    </row>
    <row r="35" spans="1:23" ht="21.75" thickBot="1" x14ac:dyDescent="0.4">
      <c r="A35" s="22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52">
        <f>SUM(M30:M34)</f>
        <v>132121079</v>
      </c>
      <c r="N35" s="152">
        <f>SUM(N30:N34)</f>
        <v>17073615.789999999</v>
      </c>
      <c r="O35" s="146">
        <f>N35/M35</f>
        <v>0.12922703870742683</v>
      </c>
      <c r="P35" s="150"/>
      <c r="Q35" s="151">
        <f>+L34</f>
        <v>2.3769907297361539E-4</v>
      </c>
      <c r="R35" s="156">
        <f>SUM(R30:R34)</f>
        <v>17073615.789999999</v>
      </c>
      <c r="S35" s="230">
        <f t="shared" si="3"/>
        <v>0.12922703870742683</v>
      </c>
      <c r="T35" s="153"/>
      <c r="U35" s="153"/>
      <c r="V35" s="154"/>
      <c r="W35" s="72"/>
    </row>
    <row r="36" spans="1:23" ht="34.5" thickBot="1" x14ac:dyDescent="0.55000000000000004">
      <c r="A36" s="73" t="s">
        <v>74</v>
      </c>
      <c r="B36" s="679">
        <v>2020</v>
      </c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1"/>
      <c r="U36" s="682"/>
      <c r="V36" s="22"/>
      <c r="W36" s="72"/>
    </row>
    <row r="37" spans="1:23" ht="95.25" customHeight="1" thickBot="1" x14ac:dyDescent="0.35">
      <c r="A37" s="683" t="s">
        <v>75</v>
      </c>
      <c r="B37" s="686" t="s">
        <v>76</v>
      </c>
      <c r="C37" s="687"/>
      <c r="D37" s="688"/>
      <c r="E37" s="688" t="s">
        <v>77</v>
      </c>
      <c r="F37" s="695" t="s">
        <v>78</v>
      </c>
      <c r="G37" s="696"/>
      <c r="H37" s="697" t="s">
        <v>79</v>
      </c>
      <c r="I37" s="698"/>
      <c r="J37" s="697" t="s">
        <v>80</v>
      </c>
      <c r="K37" s="699"/>
      <c r="L37" s="698"/>
      <c r="M37" s="700" t="s">
        <v>81</v>
      </c>
      <c r="N37" s="701"/>
      <c r="O37" s="702"/>
      <c r="P37" s="703" t="s">
        <v>82</v>
      </c>
      <c r="Q37" s="704"/>
      <c r="R37" s="705" t="s">
        <v>83</v>
      </c>
      <c r="S37" s="706"/>
      <c r="T37" s="707" t="s">
        <v>84</v>
      </c>
      <c r="U37" s="708"/>
      <c r="V37" s="709"/>
      <c r="W37" s="72"/>
    </row>
    <row r="38" spans="1:23" ht="18.75" x14ac:dyDescent="0.3">
      <c r="A38" s="684"/>
      <c r="B38" s="689"/>
      <c r="C38" s="690"/>
      <c r="D38" s="691"/>
      <c r="E38" s="691"/>
      <c r="F38" s="622" t="s">
        <v>85</v>
      </c>
      <c r="G38" s="624" t="s">
        <v>86</v>
      </c>
      <c r="H38" s="626" t="s">
        <v>87</v>
      </c>
      <c r="I38" s="628" t="s">
        <v>88</v>
      </c>
      <c r="J38" s="593" t="s">
        <v>89</v>
      </c>
      <c r="K38" s="595" t="s">
        <v>90</v>
      </c>
      <c r="L38" s="597" t="s">
        <v>91</v>
      </c>
      <c r="M38" s="595" t="s">
        <v>89</v>
      </c>
      <c r="N38" s="595" t="s">
        <v>90</v>
      </c>
      <c r="O38" s="600" t="s">
        <v>91</v>
      </c>
      <c r="P38" s="602" t="s">
        <v>92</v>
      </c>
      <c r="Q38" s="604" t="s">
        <v>93</v>
      </c>
      <c r="R38" s="606" t="s">
        <v>94</v>
      </c>
      <c r="S38" s="582" t="s">
        <v>93</v>
      </c>
      <c r="T38" s="710"/>
      <c r="U38" s="711"/>
      <c r="V38" s="712"/>
      <c r="W38" s="72"/>
    </row>
    <row r="39" spans="1:23" ht="50.25" customHeight="1" thickBot="1" x14ac:dyDescent="0.35">
      <c r="A39" s="685"/>
      <c r="B39" s="692"/>
      <c r="C39" s="693"/>
      <c r="D39" s="694"/>
      <c r="E39" s="694"/>
      <c r="F39" s="623"/>
      <c r="G39" s="625"/>
      <c r="H39" s="627"/>
      <c r="I39" s="629"/>
      <c r="J39" s="594"/>
      <c r="K39" s="596"/>
      <c r="L39" s="598"/>
      <c r="M39" s="599"/>
      <c r="N39" s="596"/>
      <c r="O39" s="601"/>
      <c r="P39" s="603"/>
      <c r="Q39" s="605"/>
      <c r="R39" s="607"/>
      <c r="S39" s="583"/>
      <c r="T39" s="713"/>
      <c r="U39" s="714"/>
      <c r="V39" s="715"/>
      <c r="W39" s="72"/>
    </row>
    <row r="40" spans="1:23" s="248" customFormat="1" ht="108" customHeight="1" x14ac:dyDescent="0.4">
      <c r="A40" s="231" t="s">
        <v>105</v>
      </c>
      <c r="B40" s="676"/>
      <c r="C40" s="677"/>
      <c r="D40" s="678"/>
      <c r="E40" s="232"/>
      <c r="F40" s="233"/>
      <c r="G40" s="234"/>
      <c r="H40" s="235"/>
      <c r="I40" s="236"/>
      <c r="J40" s="235"/>
      <c r="K40" s="237"/>
      <c r="L40" s="238"/>
      <c r="M40" s="239"/>
      <c r="N40" s="239"/>
      <c r="O40" s="240"/>
      <c r="P40" s="235"/>
      <c r="Q40" s="241"/>
      <c r="R40" s="242"/>
      <c r="S40" s="243"/>
      <c r="T40" s="244"/>
      <c r="U40" s="245"/>
      <c r="V40" s="246"/>
      <c r="W40" s="247"/>
    </row>
    <row r="41" spans="1:23" s="248" customFormat="1" ht="51.75" customHeight="1" x14ac:dyDescent="0.4">
      <c r="A41" s="584" t="s">
        <v>96</v>
      </c>
      <c r="B41" s="587" t="s">
        <v>103</v>
      </c>
      <c r="C41" s="588"/>
      <c r="D41" s="589"/>
      <c r="E41" s="249" t="s">
        <v>29</v>
      </c>
      <c r="F41" s="250">
        <v>6</v>
      </c>
      <c r="G41" s="251">
        <v>2302575</v>
      </c>
      <c r="H41" s="252">
        <v>43831</v>
      </c>
      <c r="I41" s="253">
        <v>43951</v>
      </c>
      <c r="J41" s="254">
        <v>5</v>
      </c>
      <c r="K41" s="255">
        <v>0</v>
      </c>
      <c r="L41" s="256">
        <f>K41/J41</f>
        <v>0</v>
      </c>
      <c r="M41" s="257">
        <v>1416000</v>
      </c>
      <c r="N41" s="257">
        <v>451000</v>
      </c>
      <c r="O41" s="258">
        <f t="shared" ref="O41:O47" si="4">N41/M41</f>
        <v>0.31850282485875708</v>
      </c>
      <c r="P41" s="259">
        <f t="shared" ref="P41:P47" si="5">K41</f>
        <v>0</v>
      </c>
      <c r="Q41" s="260">
        <f t="shared" ref="Q41:Q47" si="6">+L41</f>
        <v>0</v>
      </c>
      <c r="R41" s="261">
        <f t="shared" ref="R41:S47" si="7">N41</f>
        <v>451000</v>
      </c>
      <c r="S41" s="262">
        <f t="shared" si="7"/>
        <v>0.31850282485875708</v>
      </c>
      <c r="T41" s="263"/>
      <c r="U41" s="264"/>
      <c r="V41" s="265"/>
      <c r="W41" s="247"/>
    </row>
    <row r="42" spans="1:23" s="248" customFormat="1" ht="51.75" customHeight="1" x14ac:dyDescent="0.4">
      <c r="A42" s="585"/>
      <c r="B42" s="587" t="s">
        <v>104</v>
      </c>
      <c r="C42" s="588"/>
      <c r="D42" s="589"/>
      <c r="E42" s="249" t="s">
        <v>26</v>
      </c>
      <c r="F42" s="250">
        <v>16824</v>
      </c>
      <c r="G42" s="251">
        <v>68191848</v>
      </c>
      <c r="H42" s="252">
        <v>43951</v>
      </c>
      <c r="I42" s="253">
        <v>44196</v>
      </c>
      <c r="J42" s="254">
        <v>10526</v>
      </c>
      <c r="K42" s="255">
        <v>203</v>
      </c>
      <c r="L42" s="256">
        <f t="shared" ref="L42:L44" si="8">K42/J42</f>
        <v>1.928557856735702E-2</v>
      </c>
      <c r="M42" s="257">
        <v>53769183</v>
      </c>
      <c r="N42" s="257">
        <v>779440</v>
      </c>
      <c r="O42" s="258">
        <f t="shared" si="4"/>
        <v>1.449603576829501E-2</v>
      </c>
      <c r="P42" s="259">
        <f t="shared" si="5"/>
        <v>203</v>
      </c>
      <c r="Q42" s="260">
        <f t="shared" si="6"/>
        <v>1.928557856735702E-2</v>
      </c>
      <c r="R42" s="261">
        <f t="shared" si="7"/>
        <v>779440</v>
      </c>
      <c r="S42" s="262">
        <f t="shared" si="7"/>
        <v>1.449603576829501E-2</v>
      </c>
      <c r="T42" s="263"/>
      <c r="U42" s="264"/>
      <c r="V42" s="265"/>
      <c r="W42" s="247"/>
    </row>
    <row r="43" spans="1:23" s="248" customFormat="1" ht="51.75" customHeight="1" x14ac:dyDescent="0.4">
      <c r="A43" s="586"/>
      <c r="B43" s="587" t="s">
        <v>28</v>
      </c>
      <c r="C43" s="588"/>
      <c r="D43" s="589"/>
      <c r="E43" s="249" t="s">
        <v>29</v>
      </c>
      <c r="F43" s="250">
        <v>5</v>
      </c>
      <c r="G43" s="251">
        <v>20207600</v>
      </c>
      <c r="H43" s="252">
        <v>43951</v>
      </c>
      <c r="I43" s="253">
        <v>44196</v>
      </c>
      <c r="J43" s="254">
        <v>5</v>
      </c>
      <c r="K43" s="255">
        <v>0</v>
      </c>
      <c r="L43" s="256">
        <f t="shared" si="8"/>
        <v>0</v>
      </c>
      <c r="M43" s="257">
        <v>12782600</v>
      </c>
      <c r="N43" s="257">
        <v>0</v>
      </c>
      <c r="O43" s="258">
        <f t="shared" si="4"/>
        <v>0</v>
      </c>
      <c r="P43" s="259">
        <f t="shared" si="5"/>
        <v>0</v>
      </c>
      <c r="Q43" s="260">
        <f t="shared" si="6"/>
        <v>0</v>
      </c>
      <c r="R43" s="261">
        <f t="shared" si="7"/>
        <v>0</v>
      </c>
      <c r="S43" s="262">
        <f t="shared" si="7"/>
        <v>0</v>
      </c>
      <c r="T43" s="263"/>
      <c r="U43" s="264"/>
      <c r="V43" s="265"/>
      <c r="W43" s="247"/>
    </row>
    <row r="44" spans="1:23" s="248" customFormat="1" ht="105" x14ac:dyDescent="0.4">
      <c r="A44" s="266" t="s">
        <v>106</v>
      </c>
      <c r="B44" s="587" t="s">
        <v>107</v>
      </c>
      <c r="C44" s="588"/>
      <c r="D44" s="589"/>
      <c r="E44" s="249" t="s">
        <v>108</v>
      </c>
      <c r="F44" s="267">
        <v>1</v>
      </c>
      <c r="G44" s="268">
        <v>1100000</v>
      </c>
      <c r="H44" s="252">
        <v>43951</v>
      </c>
      <c r="I44" s="253">
        <v>44196</v>
      </c>
      <c r="J44" s="254">
        <v>1</v>
      </c>
      <c r="K44" s="255">
        <v>0</v>
      </c>
      <c r="L44" s="256">
        <f t="shared" si="8"/>
        <v>0</v>
      </c>
      <c r="M44" s="257">
        <v>1100000</v>
      </c>
      <c r="N44" s="257">
        <v>870000</v>
      </c>
      <c r="O44" s="258">
        <f t="shared" si="4"/>
        <v>0.79090909090909089</v>
      </c>
      <c r="P44" s="259">
        <f t="shared" si="5"/>
        <v>0</v>
      </c>
      <c r="Q44" s="260">
        <f t="shared" si="6"/>
        <v>0</v>
      </c>
      <c r="R44" s="261">
        <f t="shared" si="7"/>
        <v>870000</v>
      </c>
      <c r="S44" s="262">
        <f t="shared" si="7"/>
        <v>0.79090909090909089</v>
      </c>
      <c r="T44" s="263"/>
      <c r="U44" s="264"/>
      <c r="V44" s="265"/>
      <c r="W44" s="247"/>
    </row>
    <row r="45" spans="1:23" s="248" customFormat="1" ht="51.75" customHeight="1" x14ac:dyDescent="0.4">
      <c r="A45" s="269" t="s">
        <v>36</v>
      </c>
      <c r="B45" s="587" t="s">
        <v>39</v>
      </c>
      <c r="C45" s="588"/>
      <c r="D45" s="589"/>
      <c r="E45" s="249" t="s">
        <v>38</v>
      </c>
      <c r="F45" s="267" t="s">
        <v>34</v>
      </c>
      <c r="G45" s="268">
        <v>7734977</v>
      </c>
      <c r="H45" s="252">
        <v>43831</v>
      </c>
      <c r="I45" s="253">
        <v>44196</v>
      </c>
      <c r="J45" s="259" t="s">
        <v>34</v>
      </c>
      <c r="K45" s="270"/>
      <c r="L45" s="256">
        <v>0</v>
      </c>
      <c r="M45" s="257">
        <v>1291099</v>
      </c>
      <c r="N45" s="257">
        <v>171290</v>
      </c>
      <c r="O45" s="258">
        <f t="shared" si="4"/>
        <v>0.13266991919287366</v>
      </c>
      <c r="P45" s="259">
        <f t="shared" si="5"/>
        <v>0</v>
      </c>
      <c r="Q45" s="260">
        <f t="shared" si="6"/>
        <v>0</v>
      </c>
      <c r="R45" s="261">
        <f t="shared" si="7"/>
        <v>171290</v>
      </c>
      <c r="S45" s="262">
        <f t="shared" si="7"/>
        <v>0.13266991919287366</v>
      </c>
      <c r="T45" s="263"/>
      <c r="U45" s="264"/>
      <c r="V45" s="265"/>
      <c r="W45" s="247"/>
    </row>
    <row r="46" spans="1:23" s="248" customFormat="1" ht="51.75" customHeight="1" x14ac:dyDescent="0.4">
      <c r="A46" s="271"/>
      <c r="B46" s="587" t="s">
        <v>39</v>
      </c>
      <c r="C46" s="588"/>
      <c r="D46" s="589"/>
      <c r="E46" s="249" t="s">
        <v>38</v>
      </c>
      <c r="F46" s="267" t="s">
        <v>34</v>
      </c>
      <c r="G46" s="251">
        <v>0</v>
      </c>
      <c r="H46" s="252">
        <v>43831</v>
      </c>
      <c r="I46" s="253">
        <v>44196</v>
      </c>
      <c r="J46" s="254" t="s">
        <v>109</v>
      </c>
      <c r="K46" s="255">
        <v>0</v>
      </c>
      <c r="L46" s="256">
        <v>0</v>
      </c>
      <c r="M46" s="257">
        <v>2133000</v>
      </c>
      <c r="N46" s="257">
        <v>1422407.6799999999</v>
      </c>
      <c r="O46" s="258">
        <f t="shared" si="4"/>
        <v>0.66685779653070787</v>
      </c>
      <c r="P46" s="259">
        <f t="shared" si="5"/>
        <v>0</v>
      </c>
      <c r="Q46" s="260">
        <f t="shared" si="6"/>
        <v>0</v>
      </c>
      <c r="R46" s="261">
        <f t="shared" si="7"/>
        <v>1422407.6799999999</v>
      </c>
      <c r="S46" s="262">
        <f t="shared" si="7"/>
        <v>0.66685779653070787</v>
      </c>
      <c r="T46" s="263"/>
      <c r="U46" s="264"/>
      <c r="V46" s="265"/>
      <c r="W46" s="247"/>
    </row>
    <row r="47" spans="1:23" s="248" customFormat="1" ht="27" thickBot="1" x14ac:dyDescent="0.45">
      <c r="A47" s="422"/>
      <c r="B47" s="423"/>
      <c r="C47" s="424"/>
      <c r="D47" s="425"/>
      <c r="E47" s="426"/>
      <c r="F47" s="427"/>
      <c r="G47" s="251">
        <f>SUM(G41:G46)</f>
        <v>99537000</v>
      </c>
      <c r="H47" s="352"/>
      <c r="I47" s="353"/>
      <c r="J47" s="354">
        <f>+J41+J42+J43+J44</f>
        <v>10537</v>
      </c>
      <c r="K47" s="355">
        <f>+K41+K42</f>
        <v>203</v>
      </c>
      <c r="L47" s="356">
        <f>+K47/J47</f>
        <v>1.9265445572743664E-2</v>
      </c>
      <c r="M47" s="357">
        <f>SUM(M41:M46)</f>
        <v>72491882</v>
      </c>
      <c r="N47" s="357">
        <f>SUM(N41:N46)</f>
        <v>3694137.6799999997</v>
      </c>
      <c r="O47" s="358">
        <f t="shared" si="4"/>
        <v>5.0959329211510876E-2</v>
      </c>
      <c r="P47" s="359">
        <f t="shared" si="5"/>
        <v>203</v>
      </c>
      <c r="Q47" s="360">
        <f t="shared" si="6"/>
        <v>1.9265445572743664E-2</v>
      </c>
      <c r="R47" s="361">
        <f t="shared" si="7"/>
        <v>3694137.6799999997</v>
      </c>
      <c r="S47" s="362">
        <f t="shared" si="7"/>
        <v>5.0959329211510876E-2</v>
      </c>
      <c r="T47" s="363"/>
      <c r="U47" s="364"/>
      <c r="V47" s="365"/>
      <c r="W47" s="247"/>
    </row>
    <row r="48" spans="1:23" s="248" customFormat="1" ht="26.25" x14ac:dyDescent="0.4">
      <c r="A48" s="280"/>
      <c r="B48" s="280"/>
      <c r="C48" s="280"/>
      <c r="D48" s="280"/>
      <c r="E48" s="281"/>
      <c r="F48" s="282"/>
      <c r="G48" s="283"/>
      <c r="H48" s="284"/>
      <c r="I48" s="284"/>
      <c r="J48" s="281"/>
      <c r="K48" s="281"/>
      <c r="L48" s="285"/>
      <c r="M48" s="286"/>
      <c r="N48" s="286"/>
      <c r="O48" s="287"/>
      <c r="P48" s="282"/>
      <c r="Q48" s="288"/>
      <c r="R48" s="289"/>
      <c r="S48" s="287"/>
      <c r="T48" s="290"/>
      <c r="U48" s="290"/>
      <c r="V48" s="290"/>
      <c r="W48" s="247"/>
    </row>
    <row r="49" spans="1:23" s="248" customFormat="1" ht="27" thickBot="1" x14ac:dyDescent="0.45">
      <c r="A49" s="291" t="s">
        <v>74</v>
      </c>
      <c r="B49" s="636">
        <v>2021</v>
      </c>
      <c r="C49" s="637"/>
      <c r="D49" s="637"/>
      <c r="E49" s="637"/>
      <c r="F49" s="637"/>
      <c r="G49" s="637"/>
      <c r="H49" s="637"/>
      <c r="I49" s="637"/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8"/>
      <c r="U49" s="639"/>
      <c r="V49" s="292"/>
      <c r="W49" s="247"/>
    </row>
    <row r="50" spans="1:23" s="248" customFormat="1" ht="99.75" customHeight="1" thickBot="1" x14ac:dyDescent="0.45">
      <c r="A50" s="640" t="s">
        <v>75</v>
      </c>
      <c r="B50" s="643" t="s">
        <v>76</v>
      </c>
      <c r="C50" s="644"/>
      <c r="D50" s="645"/>
      <c r="E50" s="645" t="s">
        <v>77</v>
      </c>
      <c r="F50" s="652" t="s">
        <v>78</v>
      </c>
      <c r="G50" s="653"/>
      <c r="H50" s="654" t="s">
        <v>79</v>
      </c>
      <c r="I50" s="655"/>
      <c r="J50" s="654" t="s">
        <v>80</v>
      </c>
      <c r="K50" s="656"/>
      <c r="L50" s="655"/>
      <c r="M50" s="657" t="s">
        <v>81</v>
      </c>
      <c r="N50" s="658"/>
      <c r="O50" s="659"/>
      <c r="P50" s="609" t="s">
        <v>82</v>
      </c>
      <c r="Q50" s="610"/>
      <c r="R50" s="611" t="s">
        <v>83</v>
      </c>
      <c r="S50" s="612"/>
      <c r="T50" s="613" t="s">
        <v>84</v>
      </c>
      <c r="U50" s="614"/>
      <c r="V50" s="615"/>
      <c r="W50" s="247"/>
    </row>
    <row r="51" spans="1:23" s="248" customFormat="1" ht="47.25" customHeight="1" x14ac:dyDescent="0.4">
      <c r="A51" s="641"/>
      <c r="B51" s="646"/>
      <c r="C51" s="647"/>
      <c r="D51" s="648"/>
      <c r="E51" s="648"/>
      <c r="F51" s="622" t="s">
        <v>85</v>
      </c>
      <c r="G51" s="624" t="s">
        <v>86</v>
      </c>
      <c r="H51" s="626" t="s">
        <v>87</v>
      </c>
      <c r="I51" s="628" t="s">
        <v>88</v>
      </c>
      <c r="J51" s="593" t="s">
        <v>89</v>
      </c>
      <c r="K51" s="595" t="s">
        <v>90</v>
      </c>
      <c r="L51" s="597" t="s">
        <v>91</v>
      </c>
      <c r="M51" s="595" t="s">
        <v>89</v>
      </c>
      <c r="N51" s="595" t="s">
        <v>90</v>
      </c>
      <c r="O51" s="600" t="s">
        <v>91</v>
      </c>
      <c r="P51" s="602" t="s">
        <v>92</v>
      </c>
      <c r="Q51" s="604" t="s">
        <v>93</v>
      </c>
      <c r="R51" s="606" t="s">
        <v>94</v>
      </c>
      <c r="S51" s="582" t="s">
        <v>93</v>
      </c>
      <c r="T51" s="616"/>
      <c r="U51" s="617"/>
      <c r="V51" s="618"/>
      <c r="W51" s="247"/>
    </row>
    <row r="52" spans="1:23" s="248" customFormat="1" ht="23.25" customHeight="1" thickBot="1" x14ac:dyDescent="0.45">
      <c r="A52" s="642"/>
      <c r="B52" s="649"/>
      <c r="C52" s="650"/>
      <c r="D52" s="651"/>
      <c r="E52" s="651"/>
      <c r="F52" s="623"/>
      <c r="G52" s="625"/>
      <c r="H52" s="627"/>
      <c r="I52" s="629"/>
      <c r="J52" s="594"/>
      <c r="K52" s="596"/>
      <c r="L52" s="598"/>
      <c r="M52" s="599"/>
      <c r="N52" s="596"/>
      <c r="O52" s="601"/>
      <c r="P52" s="603"/>
      <c r="Q52" s="605"/>
      <c r="R52" s="607"/>
      <c r="S52" s="583"/>
      <c r="T52" s="619"/>
      <c r="U52" s="620"/>
      <c r="V52" s="621"/>
    </row>
    <row r="53" spans="1:23" s="248" customFormat="1" ht="44.25" customHeight="1" x14ac:dyDescent="0.4">
      <c r="A53" s="584" t="s">
        <v>110</v>
      </c>
      <c r="B53" s="587" t="s">
        <v>103</v>
      </c>
      <c r="C53" s="588"/>
      <c r="D53" s="589"/>
      <c r="E53" s="249" t="s">
        <v>29</v>
      </c>
      <c r="F53" s="250">
        <v>6</v>
      </c>
      <c r="G53" s="251">
        <v>2302575</v>
      </c>
      <c r="H53" s="252">
        <v>44197</v>
      </c>
      <c r="I53" s="253">
        <v>44316</v>
      </c>
      <c r="J53" s="254">
        <f>'[1]IAFF (1)'!G19</f>
        <v>6</v>
      </c>
      <c r="K53" s="255">
        <f>'[1]IAFF (1)'!H19</f>
        <v>0</v>
      </c>
      <c r="L53" s="256">
        <f>K53/J53</f>
        <v>0</v>
      </c>
      <c r="M53" s="257">
        <f>'[1]IAFF (1)'!K19</f>
        <v>24369880</v>
      </c>
      <c r="N53" s="257">
        <f>'[1]IAFF (1)'!L19</f>
        <v>0</v>
      </c>
      <c r="O53" s="258">
        <f t="shared" ref="O53:O59" si="9">N53/M53</f>
        <v>0</v>
      </c>
      <c r="P53" s="259">
        <f t="shared" ref="P53:P59" si="10">K53</f>
        <v>0</v>
      </c>
      <c r="Q53" s="260">
        <f>L53</f>
        <v>0</v>
      </c>
      <c r="R53" s="261">
        <f t="shared" ref="R53:S59" si="11">N53</f>
        <v>0</v>
      </c>
      <c r="S53" s="262">
        <f t="shared" si="11"/>
        <v>0</v>
      </c>
      <c r="T53" s="263"/>
      <c r="U53" s="264"/>
      <c r="V53" s="265"/>
    </row>
    <row r="54" spans="1:23" s="248" customFormat="1" ht="54" customHeight="1" x14ac:dyDescent="0.4">
      <c r="A54" s="585"/>
      <c r="B54" s="587" t="s">
        <v>25</v>
      </c>
      <c r="C54" s="588"/>
      <c r="D54" s="589"/>
      <c r="E54" s="249" t="s">
        <v>26</v>
      </c>
      <c r="F54" s="250">
        <v>16824</v>
      </c>
      <c r="G54" s="251">
        <v>68191848</v>
      </c>
      <c r="H54" s="252">
        <v>44287</v>
      </c>
      <c r="I54" s="253">
        <v>44423</v>
      </c>
      <c r="J54" s="254">
        <f>'[1]IAFF (1)'!G20</f>
        <v>6546</v>
      </c>
      <c r="K54" s="255">
        <f>'[1]IAFF (1)'!H20</f>
        <v>30.88</v>
      </c>
      <c r="L54" s="256">
        <f t="shared" ref="L54:L57" si="12">K54/J54</f>
        <v>4.7173846623892448E-3</v>
      </c>
      <c r="M54" s="257">
        <f>'[1]IAFF (1)'!K20</f>
        <v>45506015</v>
      </c>
      <c r="N54" s="257">
        <f>'[1]IAFF (1)'!L20</f>
        <v>2103660.84</v>
      </c>
      <c r="O54" s="258">
        <f t="shared" si="9"/>
        <v>4.6228192910321854E-2</v>
      </c>
      <c r="P54" s="259">
        <f>K54</f>
        <v>30.88</v>
      </c>
      <c r="Q54" s="260">
        <f t="shared" ref="Q54:Q57" si="13">L54</f>
        <v>4.7173846623892448E-3</v>
      </c>
      <c r="R54" s="261">
        <f t="shared" si="11"/>
        <v>2103660.84</v>
      </c>
      <c r="S54" s="262">
        <f t="shared" si="11"/>
        <v>4.6228192910321854E-2</v>
      </c>
      <c r="T54" s="263"/>
      <c r="U54" s="264"/>
      <c r="V54" s="265"/>
    </row>
    <row r="55" spans="1:23" s="248" customFormat="1" ht="43.5" customHeight="1" x14ac:dyDescent="0.4">
      <c r="A55" s="586"/>
      <c r="B55" s="587" t="s">
        <v>28</v>
      </c>
      <c r="C55" s="588"/>
      <c r="D55" s="589"/>
      <c r="E55" s="249" t="s">
        <v>29</v>
      </c>
      <c r="F55" s="250">
        <v>5</v>
      </c>
      <c r="G55" s="251">
        <v>20207600</v>
      </c>
      <c r="H55" s="252">
        <v>44197</v>
      </c>
      <c r="I55" s="253">
        <v>44561</v>
      </c>
      <c r="J55" s="254">
        <f>'[1]IAFF (1)'!G21</f>
        <v>7</v>
      </c>
      <c r="K55" s="255">
        <f>'[1]IAFF (1)'!H21</f>
        <v>0</v>
      </c>
      <c r="L55" s="256">
        <f t="shared" si="12"/>
        <v>0</v>
      </c>
      <c r="M55" s="257">
        <f>'[1]IAFF (1)'!K21</f>
        <v>7944372</v>
      </c>
      <c r="N55" s="257">
        <f>'[1]IAFF (1)'!L21</f>
        <v>0</v>
      </c>
      <c r="O55" s="258">
        <f t="shared" si="9"/>
        <v>0</v>
      </c>
      <c r="P55" s="259">
        <f t="shared" si="10"/>
        <v>0</v>
      </c>
      <c r="Q55" s="260">
        <f t="shared" si="13"/>
        <v>0</v>
      </c>
      <c r="R55" s="261">
        <f t="shared" si="11"/>
        <v>0</v>
      </c>
      <c r="S55" s="262">
        <f t="shared" si="11"/>
        <v>0</v>
      </c>
      <c r="T55" s="263"/>
      <c r="U55" s="264"/>
      <c r="V55" s="265"/>
    </row>
    <row r="56" spans="1:23" s="248" customFormat="1" ht="112.5" customHeight="1" x14ac:dyDescent="0.4">
      <c r="A56" s="266" t="s">
        <v>106</v>
      </c>
      <c r="B56" s="587" t="s">
        <v>107</v>
      </c>
      <c r="C56" s="588"/>
      <c r="D56" s="589"/>
      <c r="E56" s="249" t="s">
        <v>108</v>
      </c>
      <c r="F56" s="267">
        <v>1</v>
      </c>
      <c r="G56" s="268">
        <v>1100000</v>
      </c>
      <c r="H56" s="252">
        <v>44197</v>
      </c>
      <c r="I56" s="253">
        <v>44561</v>
      </c>
      <c r="J56" s="254">
        <f>'[1]IAFF (1)'!G22</f>
        <v>1</v>
      </c>
      <c r="K56" s="255">
        <f>'[1]IAFF (1)'!H22</f>
        <v>0</v>
      </c>
      <c r="L56" s="256">
        <f t="shared" si="12"/>
        <v>0</v>
      </c>
      <c r="M56" s="257">
        <f>'[1]IAFF (1)'!K22</f>
        <v>0</v>
      </c>
      <c r="N56" s="257">
        <f>'[1]IAFF (1)'!L22</f>
        <v>0</v>
      </c>
      <c r="O56" s="258">
        <v>0</v>
      </c>
      <c r="P56" s="259">
        <f t="shared" si="10"/>
        <v>0</v>
      </c>
      <c r="Q56" s="260">
        <f t="shared" si="13"/>
        <v>0</v>
      </c>
      <c r="R56" s="261">
        <f t="shared" si="11"/>
        <v>0</v>
      </c>
      <c r="S56" s="262">
        <f t="shared" si="11"/>
        <v>0</v>
      </c>
      <c r="T56" s="263"/>
      <c r="U56" s="264"/>
      <c r="V56" s="265"/>
    </row>
    <row r="57" spans="1:23" s="248" customFormat="1" ht="81.75" customHeight="1" x14ac:dyDescent="0.4">
      <c r="A57" s="641" t="s">
        <v>36</v>
      </c>
      <c r="B57" s="587" t="s">
        <v>37</v>
      </c>
      <c r="C57" s="588"/>
      <c r="D57" s="589"/>
      <c r="E57" s="249" t="s">
        <v>38</v>
      </c>
      <c r="F57" s="267" t="s">
        <v>34</v>
      </c>
      <c r="G57" s="268"/>
      <c r="H57" s="252"/>
      <c r="I57" s="253"/>
      <c r="J57" s="254">
        <f>'[1]IAFF (1)'!G23</f>
        <v>1</v>
      </c>
      <c r="K57" s="255">
        <v>0</v>
      </c>
      <c r="L57" s="256">
        <f t="shared" si="12"/>
        <v>0</v>
      </c>
      <c r="M57" s="257">
        <f>'[1]IAFF (1)'!K23</f>
        <v>219000</v>
      </c>
      <c r="N57" s="257">
        <f>'[1]IAFF (1)'!L23</f>
        <v>70582.38</v>
      </c>
      <c r="O57" s="258">
        <f t="shared" si="9"/>
        <v>0.32229397260273973</v>
      </c>
      <c r="P57" s="259">
        <f t="shared" si="10"/>
        <v>0</v>
      </c>
      <c r="Q57" s="260">
        <f t="shared" si="13"/>
        <v>0</v>
      </c>
      <c r="R57" s="261">
        <f t="shared" si="11"/>
        <v>70582.38</v>
      </c>
      <c r="S57" s="262">
        <f t="shared" si="11"/>
        <v>0.32229397260273973</v>
      </c>
      <c r="T57" s="263"/>
      <c r="U57" s="264"/>
      <c r="V57" s="265"/>
    </row>
    <row r="58" spans="1:23" s="248" customFormat="1" ht="26.25" x14ac:dyDescent="0.4">
      <c r="A58" s="641"/>
      <c r="B58" s="587" t="s">
        <v>111</v>
      </c>
      <c r="C58" s="588"/>
      <c r="D58" s="589"/>
      <c r="E58" s="249" t="s">
        <v>38</v>
      </c>
      <c r="F58" s="267" t="s">
        <v>34</v>
      </c>
      <c r="G58" s="268">
        <v>7734977</v>
      </c>
      <c r="H58" s="252">
        <v>44197</v>
      </c>
      <c r="I58" s="253">
        <v>44561</v>
      </c>
      <c r="J58" s="259">
        <f>'[1]IAFF (1)'!G24</f>
        <v>1</v>
      </c>
      <c r="K58" s="270">
        <f>'[1]IAFF (1)'!H24</f>
        <v>0</v>
      </c>
      <c r="L58" s="256">
        <v>0</v>
      </c>
      <c r="M58" s="257">
        <f>'[1]IAFF (1)'!K24</f>
        <v>3905438</v>
      </c>
      <c r="N58" s="257">
        <f>'[1]IAFF (1)'!L24</f>
        <v>3308254</v>
      </c>
      <c r="O58" s="258">
        <f t="shared" si="9"/>
        <v>0.84708911010749621</v>
      </c>
      <c r="P58" s="259">
        <f t="shared" si="10"/>
        <v>0</v>
      </c>
      <c r="Q58" s="260" t="s">
        <v>34</v>
      </c>
      <c r="R58" s="261">
        <f t="shared" si="11"/>
        <v>3308254</v>
      </c>
      <c r="S58" s="262">
        <f t="shared" si="11"/>
        <v>0.84708911010749621</v>
      </c>
      <c r="T58" s="263"/>
      <c r="U58" s="264"/>
      <c r="V58" s="265"/>
    </row>
    <row r="59" spans="1:23" s="248" customFormat="1" ht="27" thickBot="1" x14ac:dyDescent="0.45">
      <c r="A59" s="180"/>
      <c r="B59" s="346"/>
      <c r="C59" s="347"/>
      <c r="D59" s="348"/>
      <c r="E59" s="349"/>
      <c r="F59" s="350"/>
      <c r="G59" s="351">
        <f>SUM(G53:G58)</f>
        <v>99537000</v>
      </c>
      <c r="H59" s="352"/>
      <c r="I59" s="353"/>
      <c r="J59" s="354">
        <f>SUM(J53:J58)</f>
        <v>6562</v>
      </c>
      <c r="K59" s="354">
        <f>SUM(K53:K58)</f>
        <v>30.88</v>
      </c>
      <c r="L59" s="356">
        <f>K59/J59</f>
        <v>4.7058823529411761E-3</v>
      </c>
      <c r="M59" s="357">
        <f>SUM(M53:M58)</f>
        <v>81944705</v>
      </c>
      <c r="N59" s="357">
        <f>SUM(N53:N58)</f>
        <v>5482497.2199999997</v>
      </c>
      <c r="O59" s="358">
        <f t="shared" si="9"/>
        <v>6.6904838085633467E-2</v>
      </c>
      <c r="P59" s="359">
        <f t="shared" si="10"/>
        <v>30.88</v>
      </c>
      <c r="Q59" s="360">
        <f>SUM(Q53:Q56)</f>
        <v>4.7173846623892448E-3</v>
      </c>
      <c r="R59" s="361">
        <f t="shared" si="11"/>
        <v>5482497.2199999997</v>
      </c>
      <c r="S59" s="362">
        <f t="shared" si="11"/>
        <v>6.6904838085633467E-2</v>
      </c>
      <c r="T59" s="363"/>
      <c r="U59" s="364"/>
      <c r="V59" s="365"/>
    </row>
    <row r="60" spans="1:23" s="248" customFormat="1" ht="27" thickBot="1" x14ac:dyDescent="0.45">
      <c r="A60" s="291" t="s">
        <v>74</v>
      </c>
      <c r="B60" s="636">
        <v>2022</v>
      </c>
      <c r="C60" s="637"/>
      <c r="D60" s="637"/>
      <c r="E60" s="637"/>
      <c r="F60" s="637"/>
      <c r="G60" s="637"/>
      <c r="H60" s="637"/>
      <c r="I60" s="637"/>
      <c r="J60" s="637"/>
      <c r="K60" s="637"/>
      <c r="L60" s="637"/>
      <c r="M60" s="637"/>
      <c r="N60" s="637"/>
      <c r="O60" s="637"/>
      <c r="P60" s="637"/>
      <c r="Q60" s="637"/>
      <c r="R60" s="637"/>
      <c r="S60" s="637"/>
      <c r="T60" s="638"/>
      <c r="U60" s="639"/>
      <c r="V60" s="292"/>
    </row>
    <row r="61" spans="1:23" s="248" customFormat="1" ht="27" thickBot="1" x14ac:dyDescent="0.45">
      <c r="A61" s="640" t="s">
        <v>75</v>
      </c>
      <c r="B61" s="643" t="s">
        <v>76</v>
      </c>
      <c r="C61" s="644"/>
      <c r="D61" s="645"/>
      <c r="E61" s="645" t="s">
        <v>77</v>
      </c>
      <c r="F61" s="652" t="s">
        <v>78</v>
      </c>
      <c r="G61" s="653"/>
      <c r="H61" s="654" t="s">
        <v>79</v>
      </c>
      <c r="I61" s="655"/>
      <c r="J61" s="654" t="s">
        <v>80</v>
      </c>
      <c r="K61" s="656"/>
      <c r="L61" s="655"/>
      <c r="M61" s="657" t="s">
        <v>81</v>
      </c>
      <c r="N61" s="658"/>
      <c r="O61" s="659"/>
      <c r="P61" s="609" t="s">
        <v>82</v>
      </c>
      <c r="Q61" s="610"/>
      <c r="R61" s="611" t="s">
        <v>83</v>
      </c>
      <c r="S61" s="612"/>
      <c r="T61" s="613" t="s">
        <v>84</v>
      </c>
      <c r="U61" s="614"/>
      <c r="V61" s="615"/>
    </row>
    <row r="62" spans="1:23" s="248" customFormat="1" ht="26.25" x14ac:dyDescent="0.4">
      <c r="A62" s="641"/>
      <c r="B62" s="646"/>
      <c r="C62" s="647"/>
      <c r="D62" s="648"/>
      <c r="E62" s="648"/>
      <c r="F62" s="622" t="s">
        <v>85</v>
      </c>
      <c r="G62" s="624" t="s">
        <v>86</v>
      </c>
      <c r="H62" s="626" t="s">
        <v>87</v>
      </c>
      <c r="I62" s="628" t="s">
        <v>88</v>
      </c>
      <c r="J62" s="593" t="s">
        <v>89</v>
      </c>
      <c r="K62" s="595" t="s">
        <v>90</v>
      </c>
      <c r="L62" s="597" t="s">
        <v>91</v>
      </c>
      <c r="M62" s="595" t="s">
        <v>89</v>
      </c>
      <c r="N62" s="595" t="s">
        <v>90</v>
      </c>
      <c r="O62" s="600" t="s">
        <v>91</v>
      </c>
      <c r="P62" s="602" t="s">
        <v>92</v>
      </c>
      <c r="Q62" s="604" t="s">
        <v>93</v>
      </c>
      <c r="R62" s="606" t="s">
        <v>94</v>
      </c>
      <c r="S62" s="582" t="s">
        <v>93</v>
      </c>
      <c r="T62" s="616"/>
      <c r="U62" s="617"/>
      <c r="V62" s="618"/>
    </row>
    <row r="63" spans="1:23" s="248" customFormat="1" ht="27" thickBot="1" x14ac:dyDescent="0.45">
      <c r="A63" s="642"/>
      <c r="B63" s="649"/>
      <c r="C63" s="650"/>
      <c r="D63" s="651"/>
      <c r="E63" s="651"/>
      <c r="F63" s="623"/>
      <c r="G63" s="625"/>
      <c r="H63" s="627"/>
      <c r="I63" s="629"/>
      <c r="J63" s="594"/>
      <c r="K63" s="596"/>
      <c r="L63" s="598"/>
      <c r="M63" s="599"/>
      <c r="N63" s="596"/>
      <c r="O63" s="601"/>
      <c r="P63" s="603"/>
      <c r="Q63" s="605"/>
      <c r="R63" s="607"/>
      <c r="S63" s="583"/>
      <c r="T63" s="619"/>
      <c r="U63" s="620"/>
      <c r="V63" s="621"/>
    </row>
    <row r="64" spans="1:23" s="248" customFormat="1" ht="90.75" customHeight="1" x14ac:dyDescent="0.4">
      <c r="A64" s="584" t="s">
        <v>110</v>
      </c>
      <c r="B64" s="587" t="str">
        <f>'IAFF (1)'!B19:D19</f>
        <v>Construcción, ampliación y mejoramiento de infraestructura educativa del ciclo diversificado</v>
      </c>
      <c r="C64" s="588"/>
      <c r="D64" s="589"/>
      <c r="E64" s="249" t="s">
        <v>26</v>
      </c>
      <c r="F64" s="250">
        <f>'IAFF (1)'!K36</f>
        <v>0</v>
      </c>
      <c r="G64" s="251">
        <v>31666213</v>
      </c>
      <c r="H64" s="252">
        <v>44562</v>
      </c>
      <c r="I64" s="253">
        <v>44926</v>
      </c>
      <c r="J64" s="259">
        <v>4773</v>
      </c>
      <c r="K64" s="255">
        <f>'IAFF (1)'!H19</f>
        <v>0</v>
      </c>
      <c r="L64" s="256">
        <f>K64/J64</f>
        <v>0</v>
      </c>
      <c r="M64" s="257">
        <f>G64</f>
        <v>31666213</v>
      </c>
      <c r="N64" s="257">
        <v>17564691.59</v>
      </c>
      <c r="O64" s="258">
        <f t="shared" ref="O64:O67" si="14">N64/M64</f>
        <v>0.55468241781863847</v>
      </c>
      <c r="P64" s="327">
        <f t="shared" ref="P64" si="15">K64</f>
        <v>0</v>
      </c>
      <c r="Q64" s="260">
        <f>L64</f>
        <v>0</v>
      </c>
      <c r="R64" s="261">
        <f t="shared" ref="R64:R70" si="16">N64</f>
        <v>17564691.59</v>
      </c>
      <c r="S64" s="262">
        <f t="shared" ref="S64:S68" si="17">O64</f>
        <v>0.55468241781863847</v>
      </c>
      <c r="T64" s="263"/>
      <c r="U64" s="264"/>
      <c r="V64" s="265"/>
    </row>
    <row r="65" spans="1:22" s="248" customFormat="1" ht="86.25" customHeight="1" x14ac:dyDescent="0.4">
      <c r="A65" s="585"/>
      <c r="B65" s="587" t="str">
        <f>'IAFF (1)'!B20:D20</f>
        <v>Institutos tecnológicos dotados con equipamiento y mobiliario escolar</v>
      </c>
      <c r="C65" s="588"/>
      <c r="D65" s="589"/>
      <c r="E65" s="249" t="s">
        <v>29</v>
      </c>
      <c r="F65" s="250">
        <f>'IAFF (1)'!K37</f>
        <v>102</v>
      </c>
      <c r="G65" s="251">
        <v>3777438</v>
      </c>
      <c r="H65" s="252">
        <v>44562</v>
      </c>
      <c r="I65" s="253">
        <v>44926</v>
      </c>
      <c r="J65" s="259">
        <v>12</v>
      </c>
      <c r="K65" s="255">
        <f>'[1]IAFF (1)'!H32</f>
        <v>0</v>
      </c>
      <c r="L65" s="256">
        <f t="shared" ref="L65:L66" si="18">K65/J65</f>
        <v>0</v>
      </c>
      <c r="M65" s="257">
        <f>G65</f>
        <v>3777438</v>
      </c>
      <c r="N65" s="257">
        <v>9684431.9100000001</v>
      </c>
      <c r="O65" s="258">
        <f t="shared" si="14"/>
        <v>2.5637566811156134</v>
      </c>
      <c r="P65" s="259">
        <f>K65</f>
        <v>0</v>
      </c>
      <c r="Q65" s="260">
        <f t="shared" ref="Q65:Q68" si="19">L65</f>
        <v>0</v>
      </c>
      <c r="R65" s="261">
        <f t="shared" si="16"/>
        <v>9684431.9100000001</v>
      </c>
      <c r="S65" s="262">
        <f t="shared" si="17"/>
        <v>2.5637566811156134</v>
      </c>
      <c r="T65" s="263"/>
      <c r="U65" s="264"/>
      <c r="V65" s="265"/>
    </row>
    <row r="66" spans="1:22" s="248" customFormat="1" ht="82.5" customHeight="1" x14ac:dyDescent="0.4">
      <c r="A66" s="586"/>
      <c r="B66" s="587" t="s">
        <v>30</v>
      </c>
      <c r="C66" s="588"/>
      <c r="D66" s="589"/>
      <c r="E66" s="249" t="s">
        <v>29</v>
      </c>
      <c r="F66" s="250">
        <f>'IAFF (1)'!K38</f>
        <v>0</v>
      </c>
      <c r="G66" s="251">
        <v>11095831</v>
      </c>
      <c r="H66" s="252">
        <v>44562</v>
      </c>
      <c r="I66" s="253">
        <v>44926</v>
      </c>
      <c r="J66" s="259">
        <v>5</v>
      </c>
      <c r="K66" s="255">
        <v>0</v>
      </c>
      <c r="L66" s="256">
        <f t="shared" si="18"/>
        <v>0</v>
      </c>
      <c r="M66" s="257">
        <f>G66</f>
        <v>11095831</v>
      </c>
      <c r="N66" s="257">
        <v>10280809.970000001</v>
      </c>
      <c r="O66" s="258">
        <f t="shared" si="14"/>
        <v>0.92654709412931768</v>
      </c>
      <c r="P66" s="259">
        <f t="shared" ref="P66:P70" si="20">K66</f>
        <v>0</v>
      </c>
      <c r="Q66" s="260">
        <f t="shared" si="19"/>
        <v>0</v>
      </c>
      <c r="R66" s="261">
        <f t="shared" si="16"/>
        <v>10280809.970000001</v>
      </c>
      <c r="S66" s="262">
        <f>R66/M66</f>
        <v>0.92654709412931768</v>
      </c>
      <c r="T66" s="263"/>
      <c r="U66" s="264"/>
      <c r="V66" s="265"/>
    </row>
    <row r="67" spans="1:22" s="248" customFormat="1" ht="52.5" customHeight="1" x14ac:dyDescent="0.4">
      <c r="A67" s="584" t="s">
        <v>36</v>
      </c>
      <c r="B67" s="587" t="s">
        <v>37</v>
      </c>
      <c r="C67" s="588"/>
      <c r="D67" s="589"/>
      <c r="E67" s="249" t="s">
        <v>108</v>
      </c>
      <c r="F67" s="267"/>
      <c r="G67" s="268">
        <v>191428</v>
      </c>
      <c r="H67" s="252">
        <v>44562</v>
      </c>
      <c r="I67" s="253">
        <v>44926</v>
      </c>
      <c r="J67" s="259">
        <v>0</v>
      </c>
      <c r="K67" s="255">
        <f>'[1]IAFF (1)'!H34</f>
        <v>0</v>
      </c>
      <c r="L67" s="256">
        <v>0</v>
      </c>
      <c r="M67" s="257">
        <f>G67</f>
        <v>191428</v>
      </c>
      <c r="N67" s="257">
        <v>105803.76</v>
      </c>
      <c r="O67" s="258">
        <f t="shared" si="14"/>
        <v>0.5527078588294293</v>
      </c>
      <c r="P67" s="259">
        <f t="shared" si="20"/>
        <v>0</v>
      </c>
      <c r="Q67" s="260">
        <v>0</v>
      </c>
      <c r="R67" s="261">
        <f t="shared" si="16"/>
        <v>105803.76</v>
      </c>
      <c r="S67" s="262">
        <f>R67/M67</f>
        <v>0.5527078588294293</v>
      </c>
      <c r="T67" s="263"/>
      <c r="U67" s="264"/>
      <c r="V67" s="265"/>
    </row>
    <row r="68" spans="1:22" s="248" customFormat="1" ht="26.25" customHeight="1" x14ac:dyDescent="0.4">
      <c r="A68" s="585"/>
      <c r="B68" s="587" t="s">
        <v>111</v>
      </c>
      <c r="C68" s="588"/>
      <c r="D68" s="589"/>
      <c r="E68" s="249" t="s">
        <v>38</v>
      </c>
      <c r="F68" s="267" t="s">
        <v>34</v>
      </c>
      <c r="G68" s="268">
        <v>1812596</v>
      </c>
      <c r="H68" s="252">
        <v>44562</v>
      </c>
      <c r="I68" s="253">
        <v>44926</v>
      </c>
      <c r="J68" s="254">
        <v>0</v>
      </c>
      <c r="K68" s="255">
        <v>0</v>
      </c>
      <c r="L68" s="256">
        <v>0</v>
      </c>
      <c r="M68" s="257">
        <f>G68</f>
        <v>1812596</v>
      </c>
      <c r="N68" s="257">
        <v>1211858.23</v>
      </c>
      <c r="O68" s="258">
        <f t="shared" ref="O68:O70" si="21">N68/M68</f>
        <v>0.66857602576635944</v>
      </c>
      <c r="P68" s="259">
        <f t="shared" si="20"/>
        <v>0</v>
      </c>
      <c r="Q68" s="260">
        <f t="shared" si="19"/>
        <v>0</v>
      </c>
      <c r="R68" s="261">
        <f t="shared" si="16"/>
        <v>1211858.23</v>
      </c>
      <c r="S68" s="262">
        <f t="shared" si="17"/>
        <v>0.66857602576635944</v>
      </c>
      <c r="T68" s="263"/>
      <c r="U68" s="264"/>
      <c r="V68" s="265"/>
    </row>
    <row r="69" spans="1:22" s="248" customFormat="1" ht="26.25" hidden="1" customHeight="1" x14ac:dyDescent="0.4">
      <c r="A69" s="585"/>
      <c r="B69" s="590"/>
      <c r="C69" s="591"/>
      <c r="D69" s="592"/>
      <c r="E69" s="308"/>
      <c r="F69" s="309"/>
      <c r="G69" s="268"/>
      <c r="H69" s="252"/>
      <c r="I69" s="253"/>
      <c r="J69" s="259"/>
      <c r="K69" s="270"/>
      <c r="L69" s="256"/>
      <c r="M69" s="257"/>
      <c r="N69" s="257"/>
      <c r="O69" s="258"/>
      <c r="P69" s="259"/>
      <c r="Q69" s="260"/>
      <c r="R69" s="261"/>
      <c r="S69" s="262"/>
      <c r="T69" s="263"/>
      <c r="U69" s="264"/>
      <c r="V69" s="265"/>
    </row>
    <row r="70" spans="1:22" s="248" customFormat="1" ht="27" thickBot="1" x14ac:dyDescent="0.45">
      <c r="A70" s="608" t="s">
        <v>112</v>
      </c>
      <c r="B70" s="608"/>
      <c r="C70" s="608"/>
      <c r="D70" s="608"/>
      <c r="E70" s="608"/>
      <c r="F70" s="608"/>
      <c r="G70" s="367">
        <f>SUM(G64:G69)</f>
        <v>48543506</v>
      </c>
      <c r="H70" s="352"/>
      <c r="I70" s="353"/>
      <c r="J70" s="354">
        <f>SUM(J64:J69)</f>
        <v>4790</v>
      </c>
      <c r="K70" s="354">
        <f>SUM(K64:K69)</f>
        <v>0</v>
      </c>
      <c r="L70" s="356">
        <f>K70/J70</f>
        <v>0</v>
      </c>
      <c r="M70" s="357">
        <f>SUM(M64:M69)</f>
        <v>48543506</v>
      </c>
      <c r="N70" s="357">
        <f>SUM(N64:N69)</f>
        <v>38847595.459999993</v>
      </c>
      <c r="O70" s="358">
        <f t="shared" si="21"/>
        <v>0.80026348859103813</v>
      </c>
      <c r="P70" s="368">
        <f t="shared" si="20"/>
        <v>0</v>
      </c>
      <c r="Q70" s="360">
        <f>P70/J70</f>
        <v>0</v>
      </c>
      <c r="R70" s="361">
        <f t="shared" si="16"/>
        <v>38847595.459999993</v>
      </c>
      <c r="S70" s="362">
        <f>R70/M70</f>
        <v>0.80026348859103813</v>
      </c>
      <c r="T70" s="363"/>
      <c r="U70" s="364"/>
      <c r="V70" s="365"/>
    </row>
    <row r="71" spans="1:22" s="248" customFormat="1" ht="26.25" x14ac:dyDescent="0.4">
      <c r="A71" s="336"/>
      <c r="B71" s="336"/>
      <c r="C71" s="336"/>
      <c r="D71" s="336"/>
      <c r="E71" s="336"/>
      <c r="F71" s="336"/>
      <c r="G71" s="335"/>
      <c r="H71" s="332"/>
      <c r="I71" s="332"/>
      <c r="J71" s="333"/>
      <c r="K71" s="333"/>
      <c r="L71" s="334"/>
      <c r="M71" s="337"/>
      <c r="N71" s="337"/>
      <c r="O71" s="288"/>
      <c r="P71" s="335"/>
      <c r="Q71" s="288"/>
      <c r="R71" s="338"/>
      <c r="S71" s="288"/>
      <c r="T71" s="290"/>
      <c r="U71" s="339"/>
      <c r="V71" s="290"/>
    </row>
    <row r="72" spans="1:22" s="248" customFormat="1" ht="27" thickBot="1" x14ac:dyDescent="0.45">
      <c r="A72" s="366" t="s">
        <v>74</v>
      </c>
      <c r="B72" s="748">
        <v>2023</v>
      </c>
      <c r="C72" s="748"/>
      <c r="D72" s="748"/>
      <c r="E72" s="748"/>
      <c r="F72" s="748"/>
      <c r="G72" s="748"/>
      <c r="H72" s="748"/>
      <c r="I72" s="748"/>
      <c r="J72" s="748"/>
      <c r="K72" s="748"/>
      <c r="L72" s="748"/>
      <c r="M72" s="748"/>
      <c r="N72" s="748"/>
      <c r="O72" s="748"/>
      <c r="P72" s="748"/>
      <c r="Q72" s="748"/>
      <c r="R72" s="748"/>
      <c r="S72" s="748"/>
      <c r="T72" s="749"/>
      <c r="U72" s="750"/>
      <c r="V72" s="292"/>
    </row>
    <row r="73" spans="1:22" s="248" customFormat="1" ht="27" customHeight="1" thickBot="1" x14ac:dyDescent="0.45">
      <c r="A73" s="640" t="s">
        <v>75</v>
      </c>
      <c r="B73" s="643" t="s">
        <v>76</v>
      </c>
      <c r="C73" s="644"/>
      <c r="D73" s="645"/>
      <c r="E73" s="645" t="s">
        <v>77</v>
      </c>
      <c r="F73" s="652" t="s">
        <v>78</v>
      </c>
      <c r="G73" s="653"/>
      <c r="H73" s="654" t="s">
        <v>79</v>
      </c>
      <c r="I73" s="655"/>
      <c r="J73" s="654" t="s">
        <v>80</v>
      </c>
      <c r="K73" s="656"/>
      <c r="L73" s="655"/>
      <c r="M73" s="657" t="s">
        <v>81</v>
      </c>
      <c r="N73" s="658"/>
      <c r="O73" s="659"/>
      <c r="P73" s="609" t="s">
        <v>82</v>
      </c>
      <c r="Q73" s="610"/>
      <c r="R73" s="611" t="s">
        <v>83</v>
      </c>
      <c r="S73" s="612"/>
      <c r="T73" s="613" t="s">
        <v>84</v>
      </c>
      <c r="U73" s="614"/>
      <c r="V73" s="615"/>
    </row>
    <row r="74" spans="1:22" s="248" customFormat="1" ht="26.25" customHeight="1" x14ac:dyDescent="0.4">
      <c r="A74" s="641"/>
      <c r="B74" s="646"/>
      <c r="C74" s="647"/>
      <c r="D74" s="648"/>
      <c r="E74" s="648"/>
      <c r="F74" s="622" t="s">
        <v>85</v>
      </c>
      <c r="G74" s="624" t="s">
        <v>86</v>
      </c>
      <c r="H74" s="626" t="s">
        <v>87</v>
      </c>
      <c r="I74" s="628" t="s">
        <v>88</v>
      </c>
      <c r="J74" s="593" t="s">
        <v>89</v>
      </c>
      <c r="K74" s="595" t="s">
        <v>90</v>
      </c>
      <c r="L74" s="597" t="s">
        <v>91</v>
      </c>
      <c r="M74" s="595" t="s">
        <v>89</v>
      </c>
      <c r="N74" s="595" t="s">
        <v>90</v>
      </c>
      <c r="O74" s="600" t="s">
        <v>91</v>
      </c>
      <c r="P74" s="602" t="s">
        <v>92</v>
      </c>
      <c r="Q74" s="604" t="s">
        <v>93</v>
      </c>
      <c r="R74" s="606" t="s">
        <v>94</v>
      </c>
      <c r="S74" s="582" t="s">
        <v>93</v>
      </c>
      <c r="T74" s="616"/>
      <c r="U74" s="617"/>
      <c r="V74" s="618"/>
    </row>
    <row r="75" spans="1:22" ht="49.5" customHeight="1" thickBot="1" x14ac:dyDescent="0.3">
      <c r="A75" s="642"/>
      <c r="B75" s="649"/>
      <c r="C75" s="650"/>
      <c r="D75" s="651"/>
      <c r="E75" s="651"/>
      <c r="F75" s="623"/>
      <c r="G75" s="625"/>
      <c r="H75" s="627"/>
      <c r="I75" s="629"/>
      <c r="J75" s="594"/>
      <c r="K75" s="596"/>
      <c r="L75" s="598"/>
      <c r="M75" s="599"/>
      <c r="N75" s="596"/>
      <c r="O75" s="601"/>
      <c r="P75" s="603"/>
      <c r="Q75" s="605"/>
      <c r="R75" s="607"/>
      <c r="S75" s="583"/>
      <c r="T75" s="619"/>
      <c r="U75" s="620"/>
      <c r="V75" s="621"/>
    </row>
    <row r="76" spans="1:22" ht="93.75" customHeight="1" x14ac:dyDescent="0.25">
      <c r="A76" s="584" t="s">
        <v>110</v>
      </c>
      <c r="B76" s="587" t="str">
        <f>'[2]IAFF (1)'!B19:D19</f>
        <v>Construcción, ampliación y mejoramiento de infraestructura educativa del ciclo diversificado</v>
      </c>
      <c r="C76" s="588"/>
      <c r="D76" s="589"/>
      <c r="E76" s="249" t="s">
        <v>26</v>
      </c>
      <c r="F76" s="250">
        <f>'[2]IAFF (1)'!G19</f>
        <v>5303</v>
      </c>
      <c r="G76" s="251">
        <v>5740313</v>
      </c>
      <c r="H76" s="252">
        <v>44927</v>
      </c>
      <c r="I76" s="253">
        <v>45291</v>
      </c>
      <c r="J76" s="259">
        <f>F76</f>
        <v>5303</v>
      </c>
      <c r="K76" s="255">
        <f>'[2]IAFF (1)'!H19</f>
        <v>3903.4700000000003</v>
      </c>
      <c r="L76" s="256">
        <f>K76/J76</f>
        <v>0.73608712049783143</v>
      </c>
      <c r="M76" s="257">
        <f>'[2]IAFF (1)'!K19</f>
        <v>44524953</v>
      </c>
      <c r="N76" s="257">
        <f>'[2]IAFF (1)'!L19</f>
        <v>33414669.16</v>
      </c>
      <c r="O76" s="258">
        <f t="shared" ref="O76:O78" si="22">N76/M76</f>
        <v>0.75047062172081347</v>
      </c>
      <c r="P76" s="327">
        <f t="shared" ref="P76" si="23">K76</f>
        <v>3903.4700000000003</v>
      </c>
      <c r="Q76" s="260">
        <f>P76/J76</f>
        <v>0.73608712049783143</v>
      </c>
      <c r="R76" s="261">
        <f t="shared" ref="R76:S81" si="24">N76</f>
        <v>33414669.16</v>
      </c>
      <c r="S76" s="262">
        <f t="shared" si="24"/>
        <v>0.75047062172081347</v>
      </c>
      <c r="T76" s="263"/>
      <c r="U76" s="264"/>
      <c r="V76" s="265"/>
    </row>
    <row r="77" spans="1:22" ht="67.5" customHeight="1" x14ac:dyDescent="0.25">
      <c r="A77" s="585"/>
      <c r="B77" s="587" t="str">
        <f>'[2]IAFF (1)'!B20:D20</f>
        <v>Institutos tecnológicos dotados con equipamiento y mobiliario escolar</v>
      </c>
      <c r="C77" s="588"/>
      <c r="D77" s="589"/>
      <c r="E77" s="249" t="s">
        <v>29</v>
      </c>
      <c r="F77" s="250">
        <f>'[2]IAFF (1)'!G20</f>
        <v>11</v>
      </c>
      <c r="G77" s="251">
        <v>2156848</v>
      </c>
      <c r="H77" s="252">
        <v>44927</v>
      </c>
      <c r="I77" s="253">
        <v>45291</v>
      </c>
      <c r="J77" s="259">
        <f>F77</f>
        <v>11</v>
      </c>
      <c r="K77" s="255">
        <f>'[2]IAFF (1)'!H20</f>
        <v>2</v>
      </c>
      <c r="L77" s="256">
        <f>K77/J77</f>
        <v>0.18181818181818182</v>
      </c>
      <c r="M77" s="257">
        <f>'[2]IAFF (1)'!K20</f>
        <v>2156848</v>
      </c>
      <c r="N77" s="257">
        <f>'[2]IAFF (1)'!L20</f>
        <v>483900</v>
      </c>
      <c r="O77" s="258">
        <f t="shared" si="22"/>
        <v>0.22435517013716311</v>
      </c>
      <c r="P77" s="259">
        <f>K77</f>
        <v>2</v>
      </c>
      <c r="Q77" s="260">
        <f>P77/J77</f>
        <v>0.18181818181818182</v>
      </c>
      <c r="R77" s="261">
        <f t="shared" si="24"/>
        <v>483900</v>
      </c>
      <c r="S77" s="262">
        <f t="shared" si="24"/>
        <v>0.22435517013716311</v>
      </c>
      <c r="T77" s="263"/>
      <c r="U77" s="264"/>
      <c r="V77" s="265"/>
    </row>
    <row r="78" spans="1:22" ht="67.5" customHeight="1" x14ac:dyDescent="0.25">
      <c r="A78" s="586"/>
      <c r="B78" s="587" t="str">
        <f>'[2]IAFF (1)'!B21:D21</f>
        <v>Centros escolares del nivel medio ciclo diversificado rehabilitados</v>
      </c>
      <c r="C78" s="588"/>
      <c r="D78" s="589"/>
      <c r="E78" s="249" t="s">
        <v>29</v>
      </c>
      <c r="F78" s="250">
        <f>'[2]IAFF (1)'!F21</f>
        <v>2</v>
      </c>
      <c r="G78" s="251">
        <v>67249</v>
      </c>
      <c r="H78" s="252">
        <v>44927</v>
      </c>
      <c r="I78" s="253">
        <v>45291</v>
      </c>
      <c r="J78" s="259">
        <f>F78</f>
        <v>2</v>
      </c>
      <c r="K78" s="255">
        <f>'[2]IAFF (1)'!H21</f>
        <v>2</v>
      </c>
      <c r="L78" s="256">
        <f>K78/J78</f>
        <v>1</v>
      </c>
      <c r="M78" s="257">
        <f>'[2]IAFF (1)'!K21</f>
        <v>607657</v>
      </c>
      <c r="N78" s="257">
        <f>'[2]IAFF (1)'!L21</f>
        <v>572181.34</v>
      </c>
      <c r="O78" s="258">
        <f t="shared" si="22"/>
        <v>0.94161893963206211</v>
      </c>
      <c r="P78" s="259">
        <f t="shared" ref="P78:P81" si="25">K78</f>
        <v>2</v>
      </c>
      <c r="Q78" s="260">
        <f>P78/J78</f>
        <v>1</v>
      </c>
      <c r="R78" s="261">
        <f t="shared" si="24"/>
        <v>572181.34</v>
      </c>
      <c r="S78" s="262">
        <f>R78/M78</f>
        <v>0.94161893963206211</v>
      </c>
      <c r="T78" s="263"/>
      <c r="U78" s="264"/>
      <c r="V78" s="265"/>
    </row>
    <row r="79" spans="1:22" ht="67.5" customHeight="1" x14ac:dyDescent="0.25">
      <c r="A79" s="266" t="s">
        <v>32</v>
      </c>
      <c r="B79" s="587" t="s">
        <v>33</v>
      </c>
      <c r="C79" s="588"/>
      <c r="D79" s="589"/>
      <c r="E79" s="249" t="s">
        <v>113</v>
      </c>
      <c r="F79" s="267" t="s">
        <v>34</v>
      </c>
      <c r="G79" s="268">
        <v>50000</v>
      </c>
      <c r="H79" s="252">
        <v>44927</v>
      </c>
      <c r="I79" s="253">
        <v>45291</v>
      </c>
      <c r="J79" s="259" t="s">
        <v>34</v>
      </c>
      <c r="K79" s="255" t="s">
        <v>34</v>
      </c>
      <c r="L79" s="256">
        <v>0</v>
      </c>
      <c r="M79" s="257">
        <f>'[2]IAFF (1)'!K25</f>
        <v>50000</v>
      </c>
      <c r="N79" s="257">
        <f>'[2]IAFF (1)'!L25</f>
        <v>0</v>
      </c>
      <c r="O79" s="258"/>
      <c r="P79" s="259"/>
      <c r="Q79" s="260">
        <v>0</v>
      </c>
      <c r="R79" s="261"/>
      <c r="S79" s="262"/>
      <c r="T79" s="263"/>
      <c r="U79" s="264"/>
      <c r="V79" s="265"/>
    </row>
    <row r="80" spans="1:22" ht="67.5" customHeight="1" x14ac:dyDescent="0.25">
      <c r="A80" s="584" t="s">
        <v>36</v>
      </c>
      <c r="B80" s="587" t="s">
        <v>37</v>
      </c>
      <c r="C80" s="588"/>
      <c r="D80" s="589"/>
      <c r="E80" s="249" t="s">
        <v>108</v>
      </c>
      <c r="F80" s="267" t="s">
        <v>34</v>
      </c>
      <c r="G80" s="268">
        <v>130000</v>
      </c>
      <c r="H80" s="252">
        <v>44927</v>
      </c>
      <c r="I80" s="253">
        <v>45291</v>
      </c>
      <c r="J80" s="259" t="s">
        <v>34</v>
      </c>
      <c r="K80" s="255" t="s">
        <v>34</v>
      </c>
      <c r="L80" s="256">
        <v>0</v>
      </c>
      <c r="M80" s="257">
        <f>'[2]IAFF (1)'!K27</f>
        <v>315486</v>
      </c>
      <c r="N80" s="257">
        <f>'[2]IAFF (1)'!L27</f>
        <v>217786</v>
      </c>
      <c r="O80" s="258">
        <v>0</v>
      </c>
      <c r="P80" s="259" t="str">
        <f t="shared" si="25"/>
        <v>N/A</v>
      </c>
      <c r="Q80" s="260">
        <v>0</v>
      </c>
      <c r="R80" s="261">
        <f t="shared" si="24"/>
        <v>217786</v>
      </c>
      <c r="S80" s="262">
        <f>R80/M80</f>
        <v>0.69031906328648496</v>
      </c>
      <c r="T80" s="263"/>
      <c r="U80" s="264"/>
      <c r="V80" s="265"/>
    </row>
    <row r="81" spans="1:22" ht="67.5" customHeight="1" x14ac:dyDescent="0.25">
      <c r="A81" s="585"/>
      <c r="B81" s="587" t="s">
        <v>111</v>
      </c>
      <c r="C81" s="588"/>
      <c r="D81" s="589"/>
      <c r="E81" s="249" t="s">
        <v>38</v>
      </c>
      <c r="F81" s="267" t="s">
        <v>34</v>
      </c>
      <c r="G81" s="268">
        <v>1117590</v>
      </c>
      <c r="H81" s="252">
        <v>44927</v>
      </c>
      <c r="I81" s="253">
        <v>45291</v>
      </c>
      <c r="J81" s="254" t="s">
        <v>34</v>
      </c>
      <c r="K81" s="255" t="s">
        <v>34</v>
      </c>
      <c r="L81" s="256">
        <v>0</v>
      </c>
      <c r="M81" s="257">
        <f>'[2]IAFF (1)'!K28</f>
        <v>3719778</v>
      </c>
      <c r="N81" s="257">
        <f>'[2]IAFF (1)'!L28</f>
        <v>3076185.29</v>
      </c>
      <c r="O81" s="258">
        <f t="shared" ref="O81" si="26">N81/M81</f>
        <v>0.82698088165476547</v>
      </c>
      <c r="P81" s="259" t="str">
        <f t="shared" si="25"/>
        <v>N/A</v>
      </c>
      <c r="Q81" s="260">
        <v>0</v>
      </c>
      <c r="R81" s="261">
        <f t="shared" si="24"/>
        <v>3076185.29</v>
      </c>
      <c r="S81" s="262">
        <f t="shared" si="24"/>
        <v>0.82698088165476547</v>
      </c>
      <c r="T81" s="263"/>
      <c r="U81" s="264"/>
      <c r="V81" s="265"/>
    </row>
    <row r="82" spans="1:22" ht="67.5" hidden="1" customHeight="1" x14ac:dyDescent="0.25">
      <c r="A82" s="585"/>
      <c r="B82" s="590"/>
      <c r="C82" s="591"/>
      <c r="D82" s="592"/>
      <c r="E82" s="308"/>
      <c r="F82" s="309"/>
      <c r="G82" s="268"/>
      <c r="H82" s="252"/>
      <c r="I82" s="253"/>
      <c r="J82" s="259"/>
      <c r="K82" s="270"/>
      <c r="L82" s="256"/>
      <c r="M82" s="257"/>
      <c r="N82" s="257">
        <v>0</v>
      </c>
      <c r="O82" s="258"/>
      <c r="P82" s="259"/>
      <c r="Q82" s="260"/>
      <c r="R82" s="261"/>
      <c r="S82" s="262"/>
      <c r="T82" s="263"/>
      <c r="U82" s="264"/>
      <c r="V82" s="265"/>
    </row>
    <row r="83" spans="1:22" ht="26.25" x14ac:dyDescent="0.25">
      <c r="A83" s="577" t="s">
        <v>112</v>
      </c>
      <c r="B83" s="577"/>
      <c r="C83" s="577"/>
      <c r="D83" s="577"/>
      <c r="E83" s="577"/>
      <c r="F83" s="577"/>
      <c r="G83" s="307">
        <f>SUM(G76:G82)</f>
        <v>9262000</v>
      </c>
      <c r="H83" s="272"/>
      <c r="I83" s="273"/>
      <c r="J83" s="274">
        <f>SUM(J76:J82)</f>
        <v>5316</v>
      </c>
      <c r="K83" s="274">
        <f>SUM(K76:K82)</f>
        <v>3907.4700000000003</v>
      </c>
      <c r="L83" s="275">
        <f>K83/J83</f>
        <v>0.73503950338600454</v>
      </c>
      <c r="M83" s="276">
        <f>SUM(M76:M82)</f>
        <v>51374722</v>
      </c>
      <c r="N83" s="276">
        <f>SUM(N76:N82)</f>
        <v>37764721.789999999</v>
      </c>
      <c r="O83" s="277">
        <f t="shared" ref="O83" si="27">N83/M83</f>
        <v>0.73508372055035154</v>
      </c>
      <c r="P83" s="326">
        <f t="shared" ref="P83" si="28">K83</f>
        <v>3907.4700000000003</v>
      </c>
      <c r="Q83" s="260">
        <f>P83/J83</f>
        <v>0.73503950338600454</v>
      </c>
      <c r="R83" s="278">
        <f t="shared" ref="R83" si="29">N83</f>
        <v>37764721.789999999</v>
      </c>
      <c r="S83" s="279">
        <f>R83/M83</f>
        <v>0.73508372055035154</v>
      </c>
      <c r="T83" s="263"/>
      <c r="U83" s="264"/>
      <c r="V83" s="265"/>
    </row>
    <row r="84" spans="1:22" s="248" customFormat="1" ht="27" thickBot="1" x14ac:dyDescent="0.45">
      <c r="A84" s="291" t="s">
        <v>74</v>
      </c>
      <c r="B84" s="751">
        <v>2024</v>
      </c>
      <c r="C84" s="748"/>
      <c r="D84" s="748"/>
      <c r="E84" s="748"/>
      <c r="F84" s="748"/>
      <c r="G84" s="748"/>
      <c r="H84" s="748"/>
      <c r="I84" s="748"/>
      <c r="J84" s="748"/>
      <c r="K84" s="748"/>
      <c r="L84" s="748"/>
      <c r="M84" s="748"/>
      <c r="N84" s="748"/>
      <c r="O84" s="748"/>
      <c r="P84" s="748"/>
      <c r="Q84" s="748"/>
      <c r="R84" s="748"/>
      <c r="S84" s="748"/>
      <c r="T84" s="749"/>
      <c r="U84" s="750"/>
      <c r="V84" s="292"/>
    </row>
    <row r="85" spans="1:22" s="248" customFormat="1" ht="27" thickBot="1" x14ac:dyDescent="0.45">
      <c r="A85" s="640" t="s">
        <v>75</v>
      </c>
      <c r="B85" s="643" t="s">
        <v>76</v>
      </c>
      <c r="C85" s="644"/>
      <c r="D85" s="645"/>
      <c r="E85" s="645" t="s">
        <v>77</v>
      </c>
      <c r="F85" s="652" t="s">
        <v>78</v>
      </c>
      <c r="G85" s="653"/>
      <c r="H85" s="654" t="s">
        <v>79</v>
      </c>
      <c r="I85" s="655"/>
      <c r="J85" s="654" t="s">
        <v>80</v>
      </c>
      <c r="K85" s="656"/>
      <c r="L85" s="655"/>
      <c r="M85" s="657" t="s">
        <v>81</v>
      </c>
      <c r="N85" s="658"/>
      <c r="O85" s="659"/>
      <c r="P85" s="609" t="s">
        <v>82</v>
      </c>
      <c r="Q85" s="610"/>
      <c r="R85" s="611" t="s">
        <v>83</v>
      </c>
      <c r="S85" s="612"/>
      <c r="T85" s="613" t="s">
        <v>84</v>
      </c>
      <c r="U85" s="614"/>
      <c r="V85" s="615"/>
    </row>
    <row r="86" spans="1:22" s="248" customFormat="1" ht="26.25" x14ac:dyDescent="0.4">
      <c r="A86" s="641"/>
      <c r="B86" s="646"/>
      <c r="C86" s="647"/>
      <c r="D86" s="648"/>
      <c r="E86" s="648"/>
      <c r="F86" s="622" t="s">
        <v>85</v>
      </c>
      <c r="G86" s="624" t="s">
        <v>86</v>
      </c>
      <c r="H86" s="626" t="s">
        <v>87</v>
      </c>
      <c r="I86" s="628" t="s">
        <v>88</v>
      </c>
      <c r="J86" s="593" t="s">
        <v>89</v>
      </c>
      <c r="K86" s="595" t="s">
        <v>90</v>
      </c>
      <c r="L86" s="597" t="s">
        <v>91</v>
      </c>
      <c r="M86" s="595" t="s">
        <v>89</v>
      </c>
      <c r="N86" s="595" t="s">
        <v>90</v>
      </c>
      <c r="O86" s="600" t="s">
        <v>91</v>
      </c>
      <c r="P86" s="602" t="s">
        <v>92</v>
      </c>
      <c r="Q86" s="604" t="s">
        <v>93</v>
      </c>
      <c r="R86" s="606" t="s">
        <v>94</v>
      </c>
      <c r="S86" s="582" t="s">
        <v>93</v>
      </c>
      <c r="T86" s="616"/>
      <c r="U86" s="617"/>
      <c r="V86" s="618"/>
    </row>
    <row r="87" spans="1:22" ht="49.5" customHeight="1" thickBot="1" x14ac:dyDescent="0.3">
      <c r="A87" s="642"/>
      <c r="B87" s="649"/>
      <c r="C87" s="650"/>
      <c r="D87" s="651"/>
      <c r="E87" s="651"/>
      <c r="F87" s="623"/>
      <c r="G87" s="625"/>
      <c r="H87" s="627"/>
      <c r="I87" s="629"/>
      <c r="J87" s="594"/>
      <c r="K87" s="596"/>
      <c r="L87" s="598"/>
      <c r="M87" s="599"/>
      <c r="N87" s="596"/>
      <c r="O87" s="601"/>
      <c r="P87" s="603"/>
      <c r="Q87" s="605"/>
      <c r="R87" s="607"/>
      <c r="S87" s="583"/>
      <c r="T87" s="619"/>
      <c r="U87" s="620"/>
      <c r="V87" s="621"/>
    </row>
    <row r="88" spans="1:22" ht="93.75" customHeight="1" x14ac:dyDescent="0.25">
      <c r="A88" s="584" t="s">
        <v>110</v>
      </c>
      <c r="B88" s="587" t="s">
        <v>25</v>
      </c>
      <c r="C88" s="588"/>
      <c r="D88" s="589"/>
      <c r="E88" s="249" t="s">
        <v>26</v>
      </c>
      <c r="F88" s="250">
        <v>793</v>
      </c>
      <c r="G88" s="251">
        <v>5740313</v>
      </c>
      <c r="H88" s="252">
        <v>45292</v>
      </c>
      <c r="I88" s="253">
        <v>45657</v>
      </c>
      <c r="J88" s="259">
        <v>178</v>
      </c>
      <c r="K88" s="255">
        <f>'IAFF (1)'!H32</f>
        <v>0</v>
      </c>
      <c r="L88" s="256">
        <f>K88/J88</f>
        <v>0</v>
      </c>
      <c r="M88" s="257">
        <v>887891</v>
      </c>
      <c r="N88" s="257">
        <f>+'IAFF (1)'!L19</f>
        <v>0</v>
      </c>
      <c r="O88" s="258">
        <f t="shared" ref="O88:O91" si="30">N88/M88</f>
        <v>0</v>
      </c>
      <c r="P88" s="327">
        <f t="shared" ref="P88" si="31">K88</f>
        <v>0</v>
      </c>
      <c r="Q88" s="260">
        <f>P88/J88</f>
        <v>0</v>
      </c>
      <c r="R88" s="261">
        <f t="shared" ref="R88:R89" si="32">N88</f>
        <v>0</v>
      </c>
      <c r="S88" s="262">
        <f t="shared" ref="S88:S89" si="33">O88</f>
        <v>0</v>
      </c>
      <c r="T88" s="263"/>
      <c r="U88" s="264"/>
      <c r="V88" s="265"/>
    </row>
    <row r="89" spans="1:22" ht="97.5" customHeight="1" x14ac:dyDescent="0.25">
      <c r="A89" s="585"/>
      <c r="B89" s="587" t="s">
        <v>28</v>
      </c>
      <c r="C89" s="588"/>
      <c r="D89" s="589"/>
      <c r="E89" s="249" t="s">
        <v>29</v>
      </c>
      <c r="F89" s="250">
        <v>11</v>
      </c>
      <c r="G89" s="251">
        <v>2156848</v>
      </c>
      <c r="H89" s="252">
        <v>45292</v>
      </c>
      <c r="I89" s="253">
        <v>45657</v>
      </c>
      <c r="J89" s="259">
        <v>7</v>
      </c>
      <c r="K89" s="255">
        <v>5</v>
      </c>
      <c r="L89" s="256">
        <f>K89/J89</f>
        <v>0.7142857142857143</v>
      </c>
      <c r="M89" s="257">
        <v>64967165</v>
      </c>
      <c r="N89" s="257">
        <v>9684431.9100000001</v>
      </c>
      <c r="O89" s="258">
        <f t="shared" si="30"/>
        <v>0.14906656170082225</v>
      </c>
      <c r="P89" s="259">
        <f>K89</f>
        <v>5</v>
      </c>
      <c r="Q89" s="260">
        <f>P89/J89</f>
        <v>0.7142857142857143</v>
      </c>
      <c r="R89" s="261">
        <f t="shared" si="32"/>
        <v>9684431.9100000001</v>
      </c>
      <c r="S89" s="262">
        <f t="shared" si="33"/>
        <v>0.14906656170082225</v>
      </c>
      <c r="T89" s="263"/>
      <c r="U89" s="264"/>
      <c r="V89" s="265"/>
    </row>
    <row r="90" spans="1:22" ht="67.5" customHeight="1" x14ac:dyDescent="0.25">
      <c r="A90" s="586"/>
      <c r="B90" s="587" t="s">
        <v>30</v>
      </c>
      <c r="C90" s="588"/>
      <c r="D90" s="589"/>
      <c r="E90" s="249" t="s">
        <v>29</v>
      </c>
      <c r="F90" s="250">
        <v>1</v>
      </c>
      <c r="G90" s="251">
        <v>67249</v>
      </c>
      <c r="H90" s="252">
        <v>45292</v>
      </c>
      <c r="I90" s="253">
        <v>45657</v>
      </c>
      <c r="J90" s="259">
        <v>0</v>
      </c>
      <c r="K90" s="255">
        <v>0</v>
      </c>
      <c r="L90" s="256">
        <v>0</v>
      </c>
      <c r="M90" s="257">
        <v>536249</v>
      </c>
      <c r="N90" s="257">
        <f>+'IAFF (1)'!L21</f>
        <v>0</v>
      </c>
      <c r="O90" s="258">
        <f t="shared" si="30"/>
        <v>0</v>
      </c>
      <c r="P90" s="259">
        <f t="shared" ref="P90:P91" si="34">K90</f>
        <v>0</v>
      </c>
      <c r="Q90" s="260">
        <v>0</v>
      </c>
      <c r="R90" s="261">
        <f>N90</f>
        <v>0</v>
      </c>
      <c r="S90" s="262">
        <f>R90/M90</f>
        <v>0</v>
      </c>
      <c r="T90" s="263"/>
      <c r="U90" s="264"/>
      <c r="V90" s="265"/>
    </row>
    <row r="91" spans="1:22" ht="78.75" x14ac:dyDescent="0.25">
      <c r="A91" s="266" t="s">
        <v>32</v>
      </c>
      <c r="B91" s="587" t="s">
        <v>33</v>
      </c>
      <c r="C91" s="588"/>
      <c r="D91" s="589"/>
      <c r="E91" s="249" t="s">
        <v>113</v>
      </c>
      <c r="F91" s="267" t="s">
        <v>34</v>
      </c>
      <c r="G91" s="268">
        <v>50000</v>
      </c>
      <c r="H91" s="252">
        <v>45292</v>
      </c>
      <c r="I91" s="253">
        <v>45657</v>
      </c>
      <c r="J91" s="259" t="s">
        <v>34</v>
      </c>
      <c r="K91" s="255" t="s">
        <v>34</v>
      </c>
      <c r="L91" s="256">
        <v>0</v>
      </c>
      <c r="M91" s="257">
        <v>304000</v>
      </c>
      <c r="N91" s="257">
        <f>+'IAFF (1)'!L22</f>
        <v>0</v>
      </c>
      <c r="O91" s="258">
        <f t="shared" si="30"/>
        <v>0</v>
      </c>
      <c r="P91" s="259" t="str">
        <f t="shared" si="34"/>
        <v>N/A</v>
      </c>
      <c r="Q91" s="260">
        <v>0</v>
      </c>
      <c r="R91" s="261"/>
      <c r="S91" s="262"/>
      <c r="T91" s="263"/>
      <c r="U91" s="264"/>
      <c r="V91" s="265"/>
    </row>
    <row r="92" spans="1:22" ht="26.25" x14ac:dyDescent="0.25">
      <c r="A92" s="584" t="s">
        <v>36</v>
      </c>
      <c r="B92" s="587" t="s">
        <v>37</v>
      </c>
      <c r="C92" s="588"/>
      <c r="D92" s="589"/>
      <c r="E92" s="249" t="s">
        <v>108</v>
      </c>
      <c r="F92" s="267" t="s">
        <v>34</v>
      </c>
      <c r="G92" s="268">
        <v>130000</v>
      </c>
      <c r="H92" s="252">
        <v>45292</v>
      </c>
      <c r="I92" s="253">
        <v>45657</v>
      </c>
      <c r="J92" s="259" t="s">
        <v>34</v>
      </c>
      <c r="K92" s="255" t="s">
        <v>34</v>
      </c>
      <c r="L92" s="256">
        <v>0</v>
      </c>
      <c r="M92" s="257">
        <v>367282</v>
      </c>
      <c r="N92" s="257">
        <v>183081.28</v>
      </c>
      <c r="O92" s="258">
        <v>0</v>
      </c>
      <c r="P92" s="259" t="str">
        <f t="shared" ref="P92:P93" si="35">K92</f>
        <v>N/A</v>
      </c>
      <c r="Q92" s="370" t="s">
        <v>34</v>
      </c>
      <c r="R92" s="261">
        <f t="shared" ref="R92:R93" si="36">N92</f>
        <v>183081.28</v>
      </c>
      <c r="S92" s="262">
        <f>R92/M92</f>
        <v>0.49847604837699644</v>
      </c>
      <c r="T92" s="263"/>
      <c r="U92" s="264"/>
      <c r="V92" s="265"/>
    </row>
    <row r="93" spans="1:22" ht="67.5" customHeight="1" x14ac:dyDescent="0.25">
      <c r="A93" s="585"/>
      <c r="B93" s="587" t="s">
        <v>111</v>
      </c>
      <c r="C93" s="588"/>
      <c r="D93" s="589"/>
      <c r="E93" s="249" t="s">
        <v>38</v>
      </c>
      <c r="F93" s="267" t="s">
        <v>34</v>
      </c>
      <c r="G93" s="268">
        <v>1117590</v>
      </c>
      <c r="H93" s="252">
        <v>45292</v>
      </c>
      <c r="I93" s="253">
        <v>45657</v>
      </c>
      <c r="J93" s="254" t="s">
        <v>34</v>
      </c>
      <c r="K93" s="255" t="s">
        <v>34</v>
      </c>
      <c r="L93" s="256">
        <v>0</v>
      </c>
      <c r="M93" s="257">
        <v>2737546</v>
      </c>
      <c r="N93" s="257">
        <v>1582110.88</v>
      </c>
      <c r="O93" s="258">
        <f t="shared" ref="O93" si="37">N93/M93</f>
        <v>0.57793033614777611</v>
      </c>
      <c r="P93" s="259" t="str">
        <f t="shared" si="35"/>
        <v>N/A</v>
      </c>
      <c r="Q93" s="369" t="s">
        <v>34</v>
      </c>
      <c r="R93" s="261">
        <f t="shared" si="36"/>
        <v>1582110.88</v>
      </c>
      <c r="S93" s="262">
        <f t="shared" ref="S93" si="38">O93</f>
        <v>0.57793033614777611</v>
      </c>
      <c r="T93" s="263"/>
      <c r="U93" s="264"/>
      <c r="V93" s="265"/>
    </row>
    <row r="94" spans="1:22" ht="67.5" hidden="1" customHeight="1" x14ac:dyDescent="0.25">
      <c r="A94" s="585"/>
      <c r="B94" s="590"/>
      <c r="C94" s="591"/>
      <c r="D94" s="592"/>
      <c r="E94" s="308"/>
      <c r="F94" s="309"/>
      <c r="G94" s="268"/>
      <c r="H94" s="252"/>
      <c r="I94" s="253"/>
      <c r="J94" s="259"/>
      <c r="K94" s="270"/>
      <c r="L94" s="256"/>
      <c r="M94" s="257"/>
      <c r="N94" s="257"/>
      <c r="O94" s="258"/>
      <c r="P94" s="259"/>
      <c r="Q94" s="260"/>
      <c r="R94" s="261"/>
      <c r="S94" s="262"/>
      <c r="T94" s="263"/>
      <c r="U94" s="264"/>
      <c r="V94" s="265"/>
    </row>
    <row r="95" spans="1:22" ht="26.25" x14ac:dyDescent="0.25">
      <c r="A95" s="577" t="s">
        <v>112</v>
      </c>
      <c r="B95" s="577"/>
      <c r="C95" s="577"/>
      <c r="D95" s="577"/>
      <c r="E95" s="577"/>
      <c r="F95" s="577"/>
      <c r="G95" s="307">
        <f>SUM(G88:G94)</f>
        <v>9262000</v>
      </c>
      <c r="H95" s="272"/>
      <c r="I95" s="273"/>
      <c r="J95" s="274">
        <f>SUM(J88:J94)</f>
        <v>185</v>
      </c>
      <c r="K95" s="274">
        <f>SUM(K88:K94)</f>
        <v>5</v>
      </c>
      <c r="L95" s="275">
        <f>K95/J95</f>
        <v>2.7027027027027029E-2</v>
      </c>
      <c r="M95" s="276">
        <f>SUM(M88:M94)</f>
        <v>69800133</v>
      </c>
      <c r="N95" s="276">
        <f>SUM(N88:N94)</f>
        <v>11449624.07</v>
      </c>
      <c r="O95" s="277">
        <f t="shared" ref="O95" si="39">N95/M95</f>
        <v>0.16403441623814671</v>
      </c>
      <c r="P95" s="326">
        <f t="shared" ref="P95" si="40">K95</f>
        <v>5</v>
      </c>
      <c r="Q95" s="260">
        <f>P95/J95</f>
        <v>2.7027027027027029E-2</v>
      </c>
      <c r="R95" s="278">
        <f t="shared" ref="R95" si="41">N95</f>
        <v>11449624.07</v>
      </c>
      <c r="S95" s="279">
        <f>R95/M95</f>
        <v>0.16403441623814671</v>
      </c>
      <c r="T95" s="263"/>
      <c r="U95" s="264"/>
      <c r="V95" s="265"/>
    </row>
    <row r="96" spans="1:22" ht="26.25" x14ac:dyDescent="0.4">
      <c r="A96" s="293"/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4"/>
      <c r="M96" s="293"/>
      <c r="N96" s="293"/>
      <c r="O96" s="293"/>
      <c r="P96" s="293"/>
      <c r="Q96" s="293"/>
      <c r="R96" s="293"/>
      <c r="S96" s="294"/>
      <c r="T96" s="293"/>
      <c r="U96" s="293"/>
      <c r="V96" s="293"/>
    </row>
    <row r="97" spans="1:22" ht="27" thickBot="1" x14ac:dyDescent="0.45">
      <c r="A97" s="291" t="s">
        <v>74</v>
      </c>
      <c r="B97" s="751">
        <v>2025</v>
      </c>
      <c r="C97" s="748"/>
      <c r="D97" s="748"/>
      <c r="E97" s="748"/>
      <c r="F97" s="748"/>
      <c r="G97" s="748"/>
      <c r="H97" s="748"/>
      <c r="I97" s="748"/>
      <c r="J97" s="748"/>
      <c r="K97" s="748"/>
      <c r="L97" s="748"/>
      <c r="M97" s="748"/>
      <c r="N97" s="748"/>
      <c r="O97" s="748"/>
      <c r="P97" s="748"/>
      <c r="Q97" s="748"/>
      <c r="R97" s="748"/>
      <c r="S97" s="748"/>
      <c r="T97" s="749"/>
      <c r="U97" s="750"/>
      <c r="V97" s="292"/>
    </row>
    <row r="98" spans="1:22" ht="27" thickBot="1" x14ac:dyDescent="0.3">
      <c r="A98" s="640" t="s">
        <v>75</v>
      </c>
      <c r="B98" s="643" t="s">
        <v>76</v>
      </c>
      <c r="C98" s="644"/>
      <c r="D98" s="645"/>
      <c r="E98" s="645" t="s">
        <v>77</v>
      </c>
      <c r="F98" s="652" t="s">
        <v>78</v>
      </c>
      <c r="G98" s="653"/>
      <c r="H98" s="654" t="s">
        <v>79</v>
      </c>
      <c r="I98" s="655"/>
      <c r="J98" s="654" t="s">
        <v>80</v>
      </c>
      <c r="K98" s="656"/>
      <c r="L98" s="655"/>
      <c r="M98" s="657" t="s">
        <v>81</v>
      </c>
      <c r="N98" s="658"/>
      <c r="O98" s="659"/>
      <c r="P98" s="609" t="s">
        <v>82</v>
      </c>
      <c r="Q98" s="610"/>
      <c r="R98" s="611" t="s">
        <v>83</v>
      </c>
      <c r="S98" s="612"/>
      <c r="T98" s="613" t="s">
        <v>84</v>
      </c>
      <c r="U98" s="614"/>
      <c r="V98" s="615"/>
    </row>
    <row r="99" spans="1:22" x14ac:dyDescent="0.25">
      <c r="A99" s="641"/>
      <c r="B99" s="646"/>
      <c r="C99" s="647"/>
      <c r="D99" s="648"/>
      <c r="E99" s="648"/>
      <c r="F99" s="622" t="s">
        <v>85</v>
      </c>
      <c r="G99" s="624" t="s">
        <v>86</v>
      </c>
      <c r="H99" s="626" t="s">
        <v>87</v>
      </c>
      <c r="I99" s="628" t="s">
        <v>88</v>
      </c>
      <c r="J99" s="593" t="s">
        <v>89</v>
      </c>
      <c r="K99" s="595" t="s">
        <v>90</v>
      </c>
      <c r="L99" s="597" t="s">
        <v>91</v>
      </c>
      <c r="M99" s="595" t="s">
        <v>89</v>
      </c>
      <c r="N99" s="595" t="s">
        <v>90</v>
      </c>
      <c r="O99" s="600" t="s">
        <v>91</v>
      </c>
      <c r="P99" s="602" t="s">
        <v>92</v>
      </c>
      <c r="Q99" s="604" t="s">
        <v>93</v>
      </c>
      <c r="R99" s="606" t="s">
        <v>94</v>
      </c>
      <c r="S99" s="582" t="s">
        <v>93</v>
      </c>
      <c r="T99" s="616"/>
      <c r="U99" s="617"/>
      <c r="V99" s="618"/>
    </row>
    <row r="100" spans="1:22" ht="66.75" customHeight="1" thickBot="1" x14ac:dyDescent="0.3">
      <c r="A100" s="642"/>
      <c r="B100" s="649"/>
      <c r="C100" s="650"/>
      <c r="D100" s="651"/>
      <c r="E100" s="651"/>
      <c r="F100" s="623"/>
      <c r="G100" s="625"/>
      <c r="H100" s="627"/>
      <c r="I100" s="629"/>
      <c r="J100" s="594"/>
      <c r="K100" s="596"/>
      <c r="L100" s="598"/>
      <c r="M100" s="599"/>
      <c r="N100" s="596"/>
      <c r="O100" s="601"/>
      <c r="P100" s="603"/>
      <c r="Q100" s="605"/>
      <c r="R100" s="607"/>
      <c r="S100" s="583"/>
      <c r="T100" s="619"/>
      <c r="U100" s="620"/>
      <c r="V100" s="621"/>
    </row>
    <row r="101" spans="1:22" ht="26.25" x14ac:dyDescent="0.25">
      <c r="A101" s="584" t="s">
        <v>110</v>
      </c>
      <c r="B101" s="587" t="s">
        <v>25</v>
      </c>
      <c r="C101" s="588"/>
      <c r="D101" s="589"/>
      <c r="E101" s="249" t="s">
        <v>26</v>
      </c>
      <c r="F101" s="250">
        <v>0</v>
      </c>
      <c r="G101" s="251">
        <v>0</v>
      </c>
      <c r="H101" s="252"/>
      <c r="I101" s="253"/>
      <c r="J101" s="259">
        <v>0</v>
      </c>
      <c r="K101" s="255">
        <f>'IAFF (1)'!H45</f>
        <v>0</v>
      </c>
      <c r="L101" s="256">
        <v>0</v>
      </c>
      <c r="M101" s="257">
        <v>0</v>
      </c>
      <c r="N101" s="257">
        <f>+'IAFF (1)'!L32</f>
        <v>0</v>
      </c>
      <c r="O101" s="258">
        <v>0</v>
      </c>
      <c r="P101" s="327">
        <f t="shared" ref="P101" si="42">K101</f>
        <v>0</v>
      </c>
      <c r="Q101" s="260">
        <v>0</v>
      </c>
      <c r="R101" s="261">
        <f t="shared" ref="R101:R102" si="43">N101</f>
        <v>0</v>
      </c>
      <c r="S101" s="262">
        <f t="shared" ref="S101:S102" si="44">O101</f>
        <v>0</v>
      </c>
      <c r="T101" s="263"/>
      <c r="U101" s="264"/>
      <c r="V101" s="265"/>
    </row>
    <row r="102" spans="1:22" ht="86.25" customHeight="1" x14ac:dyDescent="0.25">
      <c r="A102" s="585"/>
      <c r="B102" s="587" t="s">
        <v>28</v>
      </c>
      <c r="C102" s="588"/>
      <c r="D102" s="589"/>
      <c r="E102" s="249" t="s">
        <v>29</v>
      </c>
      <c r="F102" s="250">
        <v>102</v>
      </c>
      <c r="G102" s="251">
        <f>+Hoja1!C64</f>
        <v>46689340</v>
      </c>
      <c r="H102" s="252">
        <v>45658</v>
      </c>
      <c r="I102" s="253">
        <v>45838</v>
      </c>
      <c r="J102" s="259">
        <v>102</v>
      </c>
      <c r="K102" s="255">
        <v>0</v>
      </c>
      <c r="L102" s="256">
        <f>K102/J102</f>
        <v>0</v>
      </c>
      <c r="M102" s="257">
        <f>+'IAFF (1)'!K20</f>
        <v>46689340</v>
      </c>
      <c r="N102" s="257">
        <f>+'IAFF (1)'!L20</f>
        <v>31137826.5</v>
      </c>
      <c r="O102" s="258">
        <f t="shared" ref="O102:O107" si="45">N102/M102</f>
        <v>0.66691511381398838</v>
      </c>
      <c r="P102" s="259">
        <f>K102</f>
        <v>0</v>
      </c>
      <c r="Q102" s="260">
        <f>P102/J102</f>
        <v>0</v>
      </c>
      <c r="R102" s="261">
        <f t="shared" si="43"/>
        <v>31137826.5</v>
      </c>
      <c r="S102" s="262">
        <f t="shared" si="44"/>
        <v>0.66691511381398838</v>
      </c>
      <c r="T102" s="263"/>
      <c r="U102" s="264"/>
      <c r="V102" s="265"/>
    </row>
    <row r="103" spans="1:22" ht="26.25" x14ac:dyDescent="0.25">
      <c r="A103" s="586"/>
      <c r="B103" s="587" t="s">
        <v>30</v>
      </c>
      <c r="C103" s="588"/>
      <c r="D103" s="589"/>
      <c r="E103" s="249" t="s">
        <v>29</v>
      </c>
      <c r="F103" s="250">
        <v>0</v>
      </c>
      <c r="G103" s="251">
        <v>0</v>
      </c>
      <c r="H103" s="252"/>
      <c r="I103" s="253"/>
      <c r="J103" s="259">
        <v>0</v>
      </c>
      <c r="K103" s="255">
        <v>0</v>
      </c>
      <c r="L103" s="256">
        <v>0</v>
      </c>
      <c r="M103" s="257">
        <v>0</v>
      </c>
      <c r="N103" s="257">
        <v>0</v>
      </c>
      <c r="O103" s="258">
        <v>0</v>
      </c>
      <c r="P103" s="259">
        <f t="shared" ref="P103:P106" si="46">K103</f>
        <v>0</v>
      </c>
      <c r="Q103" s="260">
        <v>0</v>
      </c>
      <c r="R103" s="261">
        <f>N103</f>
        <v>0</v>
      </c>
      <c r="S103" s="262">
        <v>0</v>
      </c>
      <c r="T103" s="263"/>
      <c r="U103" s="264"/>
      <c r="V103" s="265"/>
    </row>
    <row r="104" spans="1:22" ht="78.75" x14ac:dyDescent="0.25">
      <c r="A104" s="266" t="s">
        <v>32</v>
      </c>
      <c r="B104" s="587" t="s">
        <v>33</v>
      </c>
      <c r="C104" s="588"/>
      <c r="D104" s="589"/>
      <c r="E104" s="249" t="s">
        <v>113</v>
      </c>
      <c r="F104" s="267" t="s">
        <v>34</v>
      </c>
      <c r="G104" s="268">
        <v>0</v>
      </c>
      <c r="H104" s="252"/>
      <c r="I104" s="253"/>
      <c r="J104" s="259" t="s">
        <v>34</v>
      </c>
      <c r="K104" s="255" t="s">
        <v>34</v>
      </c>
      <c r="L104" s="256">
        <v>0</v>
      </c>
      <c r="M104" s="257">
        <f>+'IAFF (1)'!K25</f>
        <v>108000</v>
      </c>
      <c r="N104" s="257">
        <f>+'IAFF (1)'!L25</f>
        <v>0</v>
      </c>
      <c r="O104" s="258">
        <f t="shared" si="45"/>
        <v>0</v>
      </c>
      <c r="P104" s="259" t="str">
        <f t="shared" si="46"/>
        <v>N/A</v>
      </c>
      <c r="Q104" s="260">
        <v>0</v>
      </c>
      <c r="R104" s="261"/>
      <c r="S104" s="262"/>
      <c r="T104" s="263"/>
      <c r="U104" s="264"/>
      <c r="V104" s="265"/>
    </row>
    <row r="105" spans="1:22" ht="26.25" x14ac:dyDescent="0.25">
      <c r="A105" s="584" t="s">
        <v>36</v>
      </c>
      <c r="B105" s="587" t="s">
        <v>37</v>
      </c>
      <c r="C105" s="588"/>
      <c r="D105" s="589"/>
      <c r="E105" s="249" t="s">
        <v>108</v>
      </c>
      <c r="F105" s="267" t="s">
        <v>34</v>
      </c>
      <c r="G105" s="268">
        <v>0</v>
      </c>
      <c r="H105" s="252"/>
      <c r="I105" s="253"/>
      <c r="J105" s="259" t="s">
        <v>34</v>
      </c>
      <c r="K105" s="255" t="s">
        <v>34</v>
      </c>
      <c r="L105" s="256">
        <v>0</v>
      </c>
      <c r="M105" s="257"/>
      <c r="N105" s="257">
        <v>0</v>
      </c>
      <c r="O105" s="258">
        <v>0</v>
      </c>
      <c r="P105" s="259" t="str">
        <f t="shared" si="46"/>
        <v>N/A</v>
      </c>
      <c r="Q105" s="370" t="s">
        <v>34</v>
      </c>
      <c r="R105" s="261">
        <f t="shared" ref="R105:R107" si="47">N105</f>
        <v>0</v>
      </c>
      <c r="S105" s="262">
        <v>0</v>
      </c>
      <c r="T105" s="263"/>
      <c r="U105" s="264"/>
      <c r="V105" s="265"/>
    </row>
    <row r="106" spans="1:22" ht="26.25" x14ac:dyDescent="0.25">
      <c r="A106" s="585"/>
      <c r="B106" s="587" t="s">
        <v>111</v>
      </c>
      <c r="C106" s="588"/>
      <c r="D106" s="589"/>
      <c r="E106" s="249" t="s">
        <v>38</v>
      </c>
      <c r="F106" s="267" t="s">
        <v>34</v>
      </c>
      <c r="G106" s="268">
        <v>0</v>
      </c>
      <c r="H106" s="252"/>
      <c r="I106" s="253"/>
      <c r="J106" s="254" t="s">
        <v>34</v>
      </c>
      <c r="K106" s="255" t="s">
        <v>34</v>
      </c>
      <c r="L106" s="256">
        <v>0</v>
      </c>
      <c r="M106" s="257">
        <f>+'IAFF (1)'!K27</f>
        <v>10749248</v>
      </c>
      <c r="N106" s="257">
        <f>+'IAFF (1)'!L27</f>
        <v>150135</v>
      </c>
      <c r="O106" s="258">
        <f t="shared" si="45"/>
        <v>1.3967023553647659E-2</v>
      </c>
      <c r="P106" s="259" t="str">
        <f t="shared" si="46"/>
        <v>N/A</v>
      </c>
      <c r="Q106" s="369" t="s">
        <v>34</v>
      </c>
      <c r="R106" s="261">
        <f t="shared" si="47"/>
        <v>150135</v>
      </c>
      <c r="S106" s="262">
        <f t="shared" ref="S106" si="48">O106</f>
        <v>1.3967023553647659E-2</v>
      </c>
      <c r="T106" s="263"/>
      <c r="U106" s="264"/>
      <c r="V106" s="265"/>
    </row>
    <row r="107" spans="1:22" ht="26.25" x14ac:dyDescent="0.25">
      <c r="A107" s="585"/>
      <c r="B107" s="590"/>
      <c r="C107" s="591"/>
      <c r="D107" s="592"/>
      <c r="E107" s="308"/>
      <c r="F107" s="309"/>
      <c r="G107" s="268"/>
      <c r="H107" s="252"/>
      <c r="I107" s="253"/>
      <c r="J107" s="259"/>
      <c r="K107" s="270"/>
      <c r="L107" s="256"/>
      <c r="M107" s="257">
        <f>+'IAFF (1)'!K28</f>
        <v>2695606</v>
      </c>
      <c r="N107" s="257">
        <f>+'IAFF (1)'!L28</f>
        <v>2065356.3</v>
      </c>
      <c r="O107" s="258">
        <f t="shared" si="45"/>
        <v>0.76619368705960744</v>
      </c>
      <c r="P107" s="259"/>
      <c r="Q107" s="260"/>
      <c r="R107" s="261">
        <f t="shared" si="47"/>
        <v>2065356.3</v>
      </c>
      <c r="S107" s="262"/>
      <c r="T107" s="263"/>
      <c r="U107" s="264"/>
      <c r="V107" s="265"/>
    </row>
    <row r="108" spans="1:22" ht="26.25" x14ac:dyDescent="0.25">
      <c r="A108" s="577" t="s">
        <v>112</v>
      </c>
      <c r="B108" s="577"/>
      <c r="C108" s="577"/>
      <c r="D108" s="577"/>
      <c r="E108" s="577"/>
      <c r="F108" s="577"/>
      <c r="G108" s="307">
        <f>SUM(G101:G107)</f>
        <v>46689340</v>
      </c>
      <c r="H108" s="272"/>
      <c r="I108" s="273"/>
      <c r="J108" s="274">
        <f>SUM(J101:J107)</f>
        <v>102</v>
      </c>
      <c r="K108" s="274">
        <f>SUM(K101:K107)</f>
        <v>0</v>
      </c>
      <c r="L108" s="275">
        <f>K108/J108</f>
        <v>0</v>
      </c>
      <c r="M108" s="276">
        <f>SUM(M101:M107)</f>
        <v>60242194</v>
      </c>
      <c r="N108" s="276">
        <f>SUM(N101:N107)</f>
        <v>33353317.800000001</v>
      </c>
      <c r="O108" s="277">
        <f>N108/M108</f>
        <v>0.55365376964856228</v>
      </c>
      <c r="P108" s="326">
        <f t="shared" ref="P108" si="49">K108</f>
        <v>0</v>
      </c>
      <c r="Q108" s="260">
        <f>P108/J108</f>
        <v>0</v>
      </c>
      <c r="R108" s="278">
        <f t="shared" ref="R108" si="50">N108</f>
        <v>33353317.800000001</v>
      </c>
      <c r="S108" s="279">
        <f>R108/M108</f>
        <v>0.55365376964856228</v>
      </c>
      <c r="T108" s="263"/>
      <c r="U108" s="264"/>
      <c r="V108" s="265"/>
    </row>
    <row r="109" spans="1:22" ht="26.25" x14ac:dyDescent="0.4">
      <c r="A109" s="293"/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4"/>
      <c r="M109" s="293"/>
      <c r="N109" s="293"/>
      <c r="O109" s="293"/>
      <c r="P109" s="293"/>
      <c r="Q109" s="293"/>
      <c r="R109" s="293"/>
      <c r="S109" s="294"/>
      <c r="T109" s="293"/>
      <c r="U109" s="293"/>
      <c r="V109" s="293"/>
    </row>
    <row r="110" spans="1:22" ht="26.25" x14ac:dyDescent="0.4">
      <c r="A110" s="293"/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4"/>
      <c r="M110" s="293"/>
      <c r="N110" s="293"/>
      <c r="O110" s="293"/>
      <c r="P110" s="293"/>
      <c r="Q110" s="293"/>
      <c r="R110" s="293"/>
      <c r="S110" s="294"/>
      <c r="T110" s="293"/>
      <c r="U110" s="293"/>
      <c r="V110" s="293"/>
    </row>
    <row r="111" spans="1:22" ht="26.25" x14ac:dyDescent="0.4">
      <c r="A111" s="293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4"/>
      <c r="M111" s="293"/>
      <c r="N111" s="293"/>
      <c r="O111" s="293"/>
      <c r="P111" s="293"/>
      <c r="Q111" s="293"/>
      <c r="R111" s="293"/>
      <c r="S111" s="294"/>
      <c r="T111" s="293"/>
      <c r="U111" s="293"/>
      <c r="V111" s="293"/>
    </row>
    <row r="112" spans="1:22" ht="27" thickBot="1" x14ac:dyDescent="0.4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4"/>
      <c r="M112" s="293"/>
      <c r="N112" s="293"/>
      <c r="O112" s="293"/>
      <c r="P112" s="293"/>
      <c r="Q112" s="293"/>
      <c r="R112" s="293"/>
      <c r="S112" s="294"/>
      <c r="T112" s="293"/>
      <c r="U112" s="293"/>
      <c r="V112" s="293"/>
    </row>
    <row r="113" spans="1:22" ht="27" thickBot="1" x14ac:dyDescent="0.45">
      <c r="A113" s="668" t="s">
        <v>114</v>
      </c>
      <c r="B113" s="669"/>
      <c r="C113" s="669"/>
      <c r="D113" s="669"/>
      <c r="E113" s="669"/>
      <c r="F113" s="669"/>
      <c r="G113" s="670"/>
      <c r="H113" s="248"/>
      <c r="I113" s="293"/>
      <c r="J113" s="293"/>
      <c r="K113" s="293"/>
      <c r="L113" s="294"/>
      <c r="M113" s="293"/>
      <c r="N113" s="293"/>
      <c r="O113" s="293"/>
      <c r="P113" s="293"/>
      <c r="Q113" s="293"/>
      <c r="R113" s="293"/>
      <c r="S113" s="294"/>
      <c r="T113" s="293"/>
      <c r="U113" s="293"/>
      <c r="V113" s="293"/>
    </row>
    <row r="114" spans="1:22" ht="79.5" thickBot="1" x14ac:dyDescent="0.45">
      <c r="A114" s="94" t="s">
        <v>115</v>
      </c>
      <c r="B114" s="94" t="s">
        <v>116</v>
      </c>
      <c r="C114" s="94" t="s">
        <v>117</v>
      </c>
      <c r="D114" s="671" t="s">
        <v>118</v>
      </c>
      <c r="E114" s="672"/>
      <c r="F114" s="671" t="s">
        <v>119</v>
      </c>
      <c r="G114" s="672"/>
      <c r="H114" s="248"/>
      <c r="I114" s="293"/>
      <c r="J114" s="293"/>
      <c r="K114" s="293"/>
      <c r="L114" s="294"/>
      <c r="M114" s="293"/>
      <c r="N114" s="293"/>
      <c r="O114" s="293"/>
      <c r="P114" s="293"/>
      <c r="Q114" s="293"/>
      <c r="R114" s="293"/>
      <c r="S114" s="294"/>
      <c r="T114" s="293"/>
      <c r="U114" s="293"/>
      <c r="V114" s="293"/>
    </row>
    <row r="115" spans="1:22" ht="26.25" x14ac:dyDescent="0.4">
      <c r="A115" s="295">
        <v>2018</v>
      </c>
      <c r="B115" s="341">
        <v>0</v>
      </c>
      <c r="C115" s="342">
        <f>+O23</f>
        <v>0.27475837911633211</v>
      </c>
      <c r="D115" s="673" t="str">
        <f>Q22</f>
        <v>N/A</v>
      </c>
      <c r="E115" s="635"/>
      <c r="F115" s="674">
        <f>R22</f>
        <v>5478204</v>
      </c>
      <c r="G115" s="675"/>
      <c r="H115" s="248"/>
      <c r="I115" s="293"/>
      <c r="J115" s="293"/>
      <c r="K115" s="293"/>
      <c r="L115" s="294"/>
      <c r="M115" s="293"/>
      <c r="N115" s="293"/>
      <c r="O115" s="293"/>
      <c r="P115" s="293"/>
      <c r="Q115" s="293"/>
      <c r="R115" s="293"/>
      <c r="S115" s="294"/>
      <c r="T115" s="293"/>
      <c r="U115" s="293"/>
      <c r="V115" s="293"/>
    </row>
    <row r="116" spans="1:22" ht="26.25" x14ac:dyDescent="0.4">
      <c r="A116" s="296">
        <v>2019</v>
      </c>
      <c r="B116" s="343">
        <f>Q35</f>
        <v>2.3769907297361539E-4</v>
      </c>
      <c r="C116" s="340">
        <f>S35</f>
        <v>0.12922703870742683</v>
      </c>
      <c r="D116" s="660">
        <f>Q35</f>
        <v>2.3769907297361539E-4</v>
      </c>
      <c r="E116" s="661"/>
      <c r="F116" s="662">
        <f>R35</f>
        <v>17073615.789999999</v>
      </c>
      <c r="G116" s="663"/>
      <c r="H116" s="248"/>
      <c r="I116" s="293"/>
      <c r="J116" s="293"/>
      <c r="K116" s="293"/>
      <c r="L116" s="294"/>
      <c r="M116" s="293"/>
      <c r="N116" s="293"/>
      <c r="O116" s="293"/>
      <c r="P116" s="293"/>
      <c r="Q116" s="293"/>
      <c r="R116" s="293"/>
      <c r="S116" s="294"/>
      <c r="T116" s="293"/>
      <c r="U116" s="293"/>
      <c r="V116" s="293"/>
    </row>
    <row r="117" spans="1:22" ht="26.25" x14ac:dyDescent="0.4">
      <c r="A117" s="296">
        <v>2020</v>
      </c>
      <c r="B117" s="340">
        <f>Q47</f>
        <v>1.9265445572743664E-2</v>
      </c>
      <c r="C117" s="340">
        <f>S47</f>
        <v>5.0959329211510876E-2</v>
      </c>
      <c r="D117" s="660">
        <f>Q47</f>
        <v>1.9265445572743664E-2</v>
      </c>
      <c r="E117" s="661"/>
      <c r="F117" s="662">
        <f>R47</f>
        <v>3694137.6799999997</v>
      </c>
      <c r="G117" s="663"/>
      <c r="H117" s="248"/>
      <c r="I117" s="293"/>
      <c r="J117" s="293"/>
      <c r="K117" s="293"/>
      <c r="L117" s="294"/>
      <c r="M117" s="293"/>
      <c r="N117" s="293"/>
      <c r="O117" s="293"/>
      <c r="P117" s="293"/>
      <c r="Q117" s="293"/>
      <c r="R117" s="293"/>
      <c r="S117" s="294"/>
      <c r="T117" s="293"/>
      <c r="U117" s="293"/>
      <c r="V117" s="293"/>
    </row>
    <row r="118" spans="1:22" ht="26.25" x14ac:dyDescent="0.4">
      <c r="A118" s="296">
        <v>2021</v>
      </c>
      <c r="B118" s="343">
        <f>SUM(Q53:Q56)</f>
        <v>4.7173846623892448E-3</v>
      </c>
      <c r="C118" s="343">
        <f>O59</f>
        <v>6.6904838085633467E-2</v>
      </c>
      <c r="D118" s="664">
        <f>Q59</f>
        <v>4.7173846623892448E-3</v>
      </c>
      <c r="E118" s="665"/>
      <c r="F118" s="662">
        <f>R59</f>
        <v>5482497.2199999997</v>
      </c>
      <c r="G118" s="663"/>
      <c r="H118" s="248"/>
      <c r="I118" s="293"/>
      <c r="J118" s="293"/>
      <c r="K118" s="293"/>
      <c r="L118" s="294"/>
      <c r="M118" s="293"/>
      <c r="N118" s="293"/>
      <c r="O118" s="293"/>
      <c r="P118" s="293"/>
      <c r="Q118" s="293"/>
      <c r="R118" s="293"/>
      <c r="S118" s="294"/>
      <c r="T118" s="293"/>
      <c r="U118" s="293"/>
      <c r="V118" s="293"/>
    </row>
    <row r="119" spans="1:22" ht="26.25" x14ac:dyDescent="0.4">
      <c r="A119" s="296">
        <v>2022</v>
      </c>
      <c r="B119" s="340">
        <f>SUM(Q64:Q69)</f>
        <v>0</v>
      </c>
      <c r="C119" s="340">
        <f>O70</f>
        <v>0.80026348859103813</v>
      </c>
      <c r="D119" s="666">
        <f>Q70</f>
        <v>0</v>
      </c>
      <c r="E119" s="667"/>
      <c r="F119" s="580">
        <f>R70</f>
        <v>38847595.459999993</v>
      </c>
      <c r="G119" s="581"/>
      <c r="H119" s="248"/>
      <c r="I119" s="293"/>
      <c r="J119" s="293"/>
      <c r="K119" s="293"/>
      <c r="L119" s="294"/>
      <c r="M119" s="293"/>
      <c r="N119" s="293"/>
      <c r="O119" s="293"/>
      <c r="P119" s="293"/>
      <c r="Q119" s="293"/>
      <c r="R119" s="293"/>
      <c r="S119" s="294"/>
      <c r="T119" s="293"/>
      <c r="U119" s="293"/>
      <c r="V119" s="293"/>
    </row>
    <row r="120" spans="1:22" ht="26.25" x14ac:dyDescent="0.4">
      <c r="A120" s="296">
        <v>2023</v>
      </c>
      <c r="B120" s="340">
        <f>L83</f>
        <v>0.73503950338600454</v>
      </c>
      <c r="C120" s="340">
        <f>O83</f>
        <v>0.73508372055035154</v>
      </c>
      <c r="D120" s="666">
        <f>Q83</f>
        <v>0.73503950338600454</v>
      </c>
      <c r="E120" s="667"/>
      <c r="F120" s="580">
        <f>R83</f>
        <v>37764721.789999999</v>
      </c>
      <c r="G120" s="581"/>
      <c r="H120" s="248"/>
      <c r="I120" s="293"/>
      <c r="J120" s="293"/>
      <c r="K120" s="293"/>
      <c r="L120" s="294"/>
      <c r="M120" s="293"/>
      <c r="N120" s="293"/>
      <c r="O120" s="293"/>
      <c r="P120" s="293"/>
      <c r="Q120" s="293"/>
      <c r="R120" s="293"/>
      <c r="S120" s="294"/>
      <c r="T120" s="293"/>
      <c r="U120" s="293"/>
      <c r="V120" s="293"/>
    </row>
    <row r="121" spans="1:22" ht="26.25" x14ac:dyDescent="0.4">
      <c r="A121" s="296">
        <v>2024</v>
      </c>
      <c r="B121" s="386">
        <f>L95</f>
        <v>2.7027027027027029E-2</v>
      </c>
      <c r="C121" s="386">
        <f>O95</f>
        <v>0.16403441623814671</v>
      </c>
      <c r="D121" s="578">
        <f>Q95</f>
        <v>2.7027027027027029E-2</v>
      </c>
      <c r="E121" s="579"/>
      <c r="F121" s="580">
        <f>R95</f>
        <v>11449624.07</v>
      </c>
      <c r="G121" s="581"/>
      <c r="H121" s="387"/>
      <c r="I121" s="388"/>
      <c r="J121" s="388"/>
      <c r="K121" s="388"/>
      <c r="L121" s="294"/>
      <c r="M121" s="293"/>
      <c r="N121" s="293"/>
      <c r="O121" s="293"/>
      <c r="P121" s="293"/>
      <c r="Q121" s="293"/>
      <c r="R121" s="293"/>
      <c r="S121" s="294"/>
      <c r="T121" s="293"/>
      <c r="U121" s="293"/>
      <c r="V121" s="293"/>
    </row>
    <row r="122" spans="1:22" ht="26.25" x14ac:dyDescent="0.4">
      <c r="A122" s="296">
        <v>2025</v>
      </c>
      <c r="B122" s="386">
        <f>L96</f>
        <v>0</v>
      </c>
      <c r="C122" s="386">
        <f>O96</f>
        <v>0</v>
      </c>
      <c r="D122" s="578">
        <f>Q96</f>
        <v>0</v>
      </c>
      <c r="E122" s="579"/>
      <c r="F122" s="580">
        <f>R108</f>
        <v>33353317.800000001</v>
      </c>
      <c r="G122" s="581"/>
      <c r="H122" s="387"/>
      <c r="I122" s="388"/>
      <c r="J122" s="388"/>
      <c r="K122" s="388"/>
      <c r="L122" s="294"/>
      <c r="M122" s="293"/>
      <c r="N122" s="293"/>
      <c r="O122" s="293"/>
      <c r="P122" s="293"/>
      <c r="Q122" s="293"/>
      <c r="R122" s="293"/>
      <c r="S122" s="294"/>
      <c r="T122" s="293"/>
      <c r="U122" s="293"/>
      <c r="V122" s="293"/>
    </row>
    <row r="123" spans="1:22" ht="27" thickBot="1" x14ac:dyDescent="0.45">
      <c r="A123" s="741" t="s">
        <v>120</v>
      </c>
      <c r="B123" s="742"/>
      <c r="C123" s="742"/>
      <c r="D123" s="742"/>
      <c r="E123" s="742"/>
      <c r="F123" s="742"/>
      <c r="G123" s="345">
        <f>SUM(F115:G122)</f>
        <v>153143713.81</v>
      </c>
      <c r="H123" s="248"/>
      <c r="I123" s="293"/>
      <c r="J123" s="293"/>
      <c r="K123" s="293"/>
      <c r="L123" s="294"/>
      <c r="M123" s="293"/>
      <c r="N123" s="293"/>
      <c r="O123" s="293"/>
      <c r="P123" s="293"/>
      <c r="Q123" s="293"/>
      <c r="R123" s="293"/>
      <c r="S123" s="294"/>
      <c r="T123" s="293"/>
      <c r="U123" s="293"/>
      <c r="V123" s="293"/>
    </row>
    <row r="124" spans="1:22" ht="26.25" x14ac:dyDescent="0.4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97"/>
      <c r="M124" s="248"/>
      <c r="N124" s="248"/>
      <c r="O124" s="293"/>
      <c r="P124" s="293"/>
      <c r="Q124" s="293"/>
      <c r="R124" s="293"/>
      <c r="S124" s="294"/>
      <c r="T124" s="293"/>
      <c r="U124" s="293"/>
      <c r="V124" s="293"/>
    </row>
    <row r="125" spans="1:22" ht="241.5" customHeight="1" x14ac:dyDescent="0.4">
      <c r="A125" s="298"/>
      <c r="B125" s="299"/>
      <c r="C125" s="299"/>
      <c r="D125" s="299"/>
      <c r="E125" s="300"/>
      <c r="F125" s="248"/>
      <c r="G125" s="248"/>
      <c r="H125" s="248"/>
      <c r="I125" s="630" t="s">
        <v>68</v>
      </c>
      <c r="J125" s="631"/>
      <c r="K125" s="631"/>
      <c r="L125" s="631"/>
      <c r="M125" s="632"/>
      <c r="N125" s="248"/>
      <c r="O125" s="293"/>
      <c r="P125" s="293"/>
      <c r="Q125" s="293"/>
      <c r="R125" s="293"/>
      <c r="S125" s="294"/>
      <c r="T125" s="293"/>
      <c r="U125" s="293"/>
      <c r="V125" s="293"/>
    </row>
    <row r="126" spans="1:22" ht="26.25" x14ac:dyDescent="0.4">
      <c r="A126" s="633" t="s">
        <v>67</v>
      </c>
      <c r="B126" s="634"/>
      <c r="C126" s="634"/>
      <c r="D126" s="634"/>
      <c r="E126" s="635"/>
      <c r="F126" s="301"/>
      <c r="G126" s="302"/>
      <c r="H126" s="301"/>
      <c r="I126" s="633"/>
      <c r="J126" s="634"/>
      <c r="K126" s="634"/>
      <c r="L126" s="634"/>
      <c r="M126" s="635"/>
      <c r="N126" s="248"/>
      <c r="O126" s="293"/>
      <c r="P126" s="293"/>
      <c r="Q126" s="293"/>
      <c r="R126" s="293"/>
      <c r="S126" s="294"/>
      <c r="T126" s="293"/>
      <c r="U126" s="293"/>
      <c r="V126" s="293"/>
    </row>
    <row r="127" spans="1:22" ht="26.25" x14ac:dyDescent="0.4">
      <c r="A127" s="303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97"/>
      <c r="M127" s="248"/>
      <c r="N127" s="248"/>
      <c r="O127" s="248"/>
      <c r="P127" s="248"/>
      <c r="Q127" s="248"/>
      <c r="R127" s="248"/>
      <c r="S127" s="297"/>
      <c r="T127" s="248"/>
      <c r="U127" s="248"/>
      <c r="V127" s="248"/>
    </row>
    <row r="128" spans="1:22" ht="26.25" x14ac:dyDescent="0.4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97"/>
      <c r="M128" s="248"/>
      <c r="N128" s="248"/>
      <c r="O128" s="248"/>
      <c r="P128" s="248"/>
      <c r="Q128" s="248"/>
      <c r="R128" s="248"/>
      <c r="S128" s="297"/>
      <c r="T128" s="248"/>
      <c r="U128" s="248"/>
      <c r="V128" s="248"/>
    </row>
    <row r="129" spans="1:21" ht="18.75" x14ac:dyDescent="0.25">
      <c r="A129" s="53"/>
    </row>
    <row r="130" spans="1:21" ht="18.75" x14ac:dyDescent="0.3">
      <c r="B130" s="1"/>
      <c r="C130" s="1"/>
      <c r="D130" s="1"/>
      <c r="E130" s="1"/>
      <c r="J130" s="1"/>
      <c r="K130" s="1"/>
      <c r="L130" s="304"/>
      <c r="M130" s="11"/>
      <c r="N130" s="2"/>
      <c r="S130" s="305"/>
      <c r="T130" s="1"/>
      <c r="U130" s="1"/>
    </row>
    <row r="131" spans="1:21" ht="18.75" x14ac:dyDescent="0.3">
      <c r="S131" s="304"/>
      <c r="T131" s="2"/>
      <c r="U131" s="2"/>
    </row>
  </sheetData>
  <mergeCells count="300">
    <mergeCell ref="B91:D91"/>
    <mergeCell ref="A92:A94"/>
    <mergeCell ref="B92:D92"/>
    <mergeCell ref="B93:D93"/>
    <mergeCell ref="B94:D94"/>
    <mergeCell ref="A95:F95"/>
    <mergeCell ref="D121:E121"/>
    <mergeCell ref="F121:G121"/>
    <mergeCell ref="O86:O87"/>
    <mergeCell ref="B97:U97"/>
    <mergeCell ref="A98:A100"/>
    <mergeCell ref="B98:D100"/>
    <mergeCell ref="E98:E100"/>
    <mergeCell ref="F98:G98"/>
    <mergeCell ref="H98:I98"/>
    <mergeCell ref="J98:L98"/>
    <mergeCell ref="M98:O98"/>
    <mergeCell ref="P98:Q98"/>
    <mergeCell ref="R98:S98"/>
    <mergeCell ref="T98:V100"/>
    <mergeCell ref="F99:F100"/>
    <mergeCell ref="G99:G100"/>
    <mergeCell ref="H99:H100"/>
    <mergeCell ref="I99:I100"/>
    <mergeCell ref="P86:P87"/>
    <mergeCell ref="Q86:Q87"/>
    <mergeCell ref="R86:R87"/>
    <mergeCell ref="S86:S87"/>
    <mergeCell ref="A88:A90"/>
    <mergeCell ref="B88:D88"/>
    <mergeCell ref="B89:D89"/>
    <mergeCell ref="B90:D90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A83:F83"/>
    <mergeCell ref="D120:E120"/>
    <mergeCell ref="F120:G120"/>
    <mergeCell ref="S74:S75"/>
    <mergeCell ref="A76:A78"/>
    <mergeCell ref="B76:D76"/>
    <mergeCell ref="B77:D77"/>
    <mergeCell ref="B78:D78"/>
    <mergeCell ref="A80:A82"/>
    <mergeCell ref="B80:D80"/>
    <mergeCell ref="B81:D81"/>
    <mergeCell ref="B82:D82"/>
    <mergeCell ref="B79:D79"/>
    <mergeCell ref="B84:U84"/>
    <mergeCell ref="A85:A87"/>
    <mergeCell ref="B85:D87"/>
    <mergeCell ref="E85:E87"/>
    <mergeCell ref="F85:G85"/>
    <mergeCell ref="H85:I85"/>
    <mergeCell ref="J85:L85"/>
    <mergeCell ref="M85:O85"/>
    <mergeCell ref="P85:Q85"/>
    <mergeCell ref="R85:S85"/>
    <mergeCell ref="T85:V87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123:F123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A13:V13"/>
    <mergeCell ref="A14:V14"/>
    <mergeCell ref="B15:U15"/>
    <mergeCell ref="A16:A18"/>
    <mergeCell ref="B16:D18"/>
    <mergeCell ref="E16:E18"/>
    <mergeCell ref="F16:G16"/>
    <mergeCell ref="H16:I16"/>
    <mergeCell ref="J16:L16"/>
    <mergeCell ref="M16:O16"/>
    <mergeCell ref="P16:Q16"/>
    <mergeCell ref="R16:S16"/>
    <mergeCell ref="T16:V18"/>
    <mergeCell ref="F17:F18"/>
    <mergeCell ref="B21:D21"/>
    <mergeCell ref="B22:D22"/>
    <mergeCell ref="A24:V24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S17:S18"/>
    <mergeCell ref="B19:D19"/>
    <mergeCell ref="B20:D20"/>
    <mergeCell ref="B25:U25"/>
    <mergeCell ref="A26:A28"/>
    <mergeCell ref="B26:D28"/>
    <mergeCell ref="E26:E28"/>
    <mergeCell ref="F26:G26"/>
    <mergeCell ref="H26:I26"/>
    <mergeCell ref="J26:L26"/>
    <mergeCell ref="M26:O26"/>
    <mergeCell ref="P26:Q26"/>
    <mergeCell ref="R26:S26"/>
    <mergeCell ref="R27:R28"/>
    <mergeCell ref="S27:S28"/>
    <mergeCell ref="T26:V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A30:A32"/>
    <mergeCell ref="B30:D30"/>
    <mergeCell ref="B31:D31"/>
    <mergeCell ref="B32:D32"/>
    <mergeCell ref="B33:D33"/>
    <mergeCell ref="B34:D34"/>
    <mergeCell ref="O27:O28"/>
    <mergeCell ref="P27:P28"/>
    <mergeCell ref="Q27:Q28"/>
    <mergeCell ref="B29:D29"/>
    <mergeCell ref="B36:U36"/>
    <mergeCell ref="A37:A39"/>
    <mergeCell ref="B37:D39"/>
    <mergeCell ref="E37:E39"/>
    <mergeCell ref="F37:G37"/>
    <mergeCell ref="H37:I37"/>
    <mergeCell ref="J37:L37"/>
    <mergeCell ref="M37:O37"/>
    <mergeCell ref="P37:Q37"/>
    <mergeCell ref="R37:S37"/>
    <mergeCell ref="R38:R39"/>
    <mergeCell ref="S38:S39"/>
    <mergeCell ref="T37:V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A41:A43"/>
    <mergeCell ref="B41:D41"/>
    <mergeCell ref="B42:D42"/>
    <mergeCell ref="B43:D43"/>
    <mergeCell ref="B44:D44"/>
    <mergeCell ref="B45:D45"/>
    <mergeCell ref="O38:O39"/>
    <mergeCell ref="P38:P39"/>
    <mergeCell ref="Q38:Q39"/>
    <mergeCell ref="B40:D40"/>
    <mergeCell ref="B46:D46"/>
    <mergeCell ref="B49:U49"/>
    <mergeCell ref="A50:A52"/>
    <mergeCell ref="B50:D52"/>
    <mergeCell ref="E50:E52"/>
    <mergeCell ref="F50:G50"/>
    <mergeCell ref="H50:I50"/>
    <mergeCell ref="J50:L50"/>
    <mergeCell ref="M50:O50"/>
    <mergeCell ref="P50:Q50"/>
    <mergeCell ref="O51:O52"/>
    <mergeCell ref="P51:P52"/>
    <mergeCell ref="Q51:Q52"/>
    <mergeCell ref="R51:R52"/>
    <mergeCell ref="S51:S52"/>
    <mergeCell ref="R50:S50"/>
    <mergeCell ref="T50:V52"/>
    <mergeCell ref="F51:F52"/>
    <mergeCell ref="G51:G52"/>
    <mergeCell ref="H51:H52"/>
    <mergeCell ref="I51:I52"/>
    <mergeCell ref="J51:J52"/>
    <mergeCell ref="K51:K52"/>
    <mergeCell ref="L51:L52"/>
    <mergeCell ref="M51:M52"/>
    <mergeCell ref="A53:A55"/>
    <mergeCell ref="B53:D53"/>
    <mergeCell ref="B54:D54"/>
    <mergeCell ref="B55:D55"/>
    <mergeCell ref="B56:D56"/>
    <mergeCell ref="A57:A58"/>
    <mergeCell ref="B57:D57"/>
    <mergeCell ref="B58:D58"/>
    <mergeCell ref="N51:N52"/>
    <mergeCell ref="I125:M126"/>
    <mergeCell ref="A126:E126"/>
    <mergeCell ref="B60:U60"/>
    <mergeCell ref="A61:A63"/>
    <mergeCell ref="B61:D63"/>
    <mergeCell ref="E61:E63"/>
    <mergeCell ref="F61:G61"/>
    <mergeCell ref="H61:I61"/>
    <mergeCell ref="J61:L61"/>
    <mergeCell ref="M61:O61"/>
    <mergeCell ref="D117:E117"/>
    <mergeCell ref="F117:G117"/>
    <mergeCell ref="D118:E118"/>
    <mergeCell ref="F118:G118"/>
    <mergeCell ref="D119:E119"/>
    <mergeCell ref="F119:G119"/>
    <mergeCell ref="A113:G113"/>
    <mergeCell ref="D114:E114"/>
    <mergeCell ref="F114:G114"/>
    <mergeCell ref="D115:E115"/>
    <mergeCell ref="F115:G115"/>
    <mergeCell ref="D116:E116"/>
    <mergeCell ref="F116:G116"/>
    <mergeCell ref="P61:Q61"/>
    <mergeCell ref="R61:S61"/>
    <mergeCell ref="T61:V63"/>
    <mergeCell ref="F62:F63"/>
    <mergeCell ref="G62:G63"/>
    <mergeCell ref="H62:H63"/>
    <mergeCell ref="I62:I63"/>
    <mergeCell ref="J62:J63"/>
    <mergeCell ref="K62:K63"/>
    <mergeCell ref="L62:L63"/>
    <mergeCell ref="B68:D68"/>
    <mergeCell ref="B69:D69"/>
    <mergeCell ref="A67:A69"/>
    <mergeCell ref="A70:F70"/>
    <mergeCell ref="S62:S63"/>
    <mergeCell ref="A64:A66"/>
    <mergeCell ref="B64:D64"/>
    <mergeCell ref="B65:D65"/>
    <mergeCell ref="B66:D66"/>
    <mergeCell ref="B67:D67"/>
    <mergeCell ref="M62:M63"/>
    <mergeCell ref="N62:N63"/>
    <mergeCell ref="O62:O63"/>
    <mergeCell ref="P62:P63"/>
    <mergeCell ref="Q62:Q63"/>
    <mergeCell ref="R62:R63"/>
    <mergeCell ref="A108:F108"/>
    <mergeCell ref="D122:E122"/>
    <mergeCell ref="F122:G122"/>
    <mergeCell ref="S99:S100"/>
    <mergeCell ref="A101:A103"/>
    <mergeCell ref="B101:D101"/>
    <mergeCell ref="B102:D102"/>
    <mergeCell ref="B103:D103"/>
    <mergeCell ref="B104:D104"/>
    <mergeCell ref="A105:A107"/>
    <mergeCell ref="B105:D105"/>
    <mergeCell ref="B106:D106"/>
    <mergeCell ref="B107:D107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4" orientation="landscape" r:id="rId1"/>
  <rowBreaks count="3" manualBreakCount="3">
    <brk id="35" max="21" man="1"/>
    <brk id="59" max="21" man="1"/>
    <brk id="83" max="21" man="1"/>
  </rowBreaks>
  <ignoredErrors>
    <ignoredError sqref="B11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showGridLines="0" tabSelected="1" view="pageBreakPreview" topLeftCell="A34" zoomScale="55" zoomScaleNormal="75" zoomScaleSheetLayoutView="55" zoomScalePageLayoutView="55" workbookViewId="0">
      <selection activeCell="O46" sqref="O46:P46"/>
    </sheetView>
  </sheetViews>
  <sheetFormatPr baseColWidth="10" defaultColWidth="11.42578125" defaultRowHeight="18.75" x14ac:dyDescent="0.3"/>
  <cols>
    <col min="1" max="1" width="23.140625" style="1" customWidth="1"/>
    <col min="2" max="2" width="16.42578125" style="1" customWidth="1"/>
    <col min="3" max="3" width="28.2851562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16.140625" style="1" customWidth="1"/>
    <col min="17" max="17" width="1.140625" style="1" customWidth="1"/>
    <col min="18" max="18" width="3.140625" style="1" customWidth="1"/>
    <col min="19" max="19" width="12" style="1" bestFit="1" customWidth="1"/>
    <col min="20" max="24" width="11.42578125" style="1"/>
    <col min="25" max="25" width="14.140625" style="1" bestFit="1" customWidth="1"/>
    <col min="26" max="16384" width="11.42578125" style="1"/>
  </cols>
  <sheetData>
    <row r="1" spans="1:17" ht="19.5" thickBot="1" x14ac:dyDescent="0.35"/>
    <row r="2" spans="1:17" ht="46.5" customHeight="1" thickBot="1" x14ac:dyDescent="0.75">
      <c r="A2" s="765" t="s">
        <v>121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7"/>
    </row>
    <row r="3" spans="1:17" ht="13.5" customHeight="1" thickBot="1" x14ac:dyDescent="0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7" ht="7.5" customHeight="1" thickBot="1" x14ac:dyDescent="0.35">
      <c r="A4" s="768"/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70"/>
    </row>
    <row r="5" spans="1:17" ht="39.75" thickBot="1" x14ac:dyDescent="0.65">
      <c r="A5" s="771" t="s">
        <v>1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3"/>
    </row>
    <row r="6" spans="1:17" ht="8.25" customHeight="1" thickBot="1" x14ac:dyDescent="0.4">
      <c r="A6" s="774"/>
      <c r="B6" s="775"/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6"/>
    </row>
    <row r="7" spans="1:17" ht="8.25" customHeight="1" thickBot="1" x14ac:dyDescent="0.4">
      <c r="A7" s="85"/>
      <c r="B7" s="85"/>
      <c r="C7" s="85" t="s">
        <v>122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ht="18.75" customHeight="1" x14ac:dyDescent="0.35">
      <c r="A8" s="777" t="s">
        <v>2</v>
      </c>
      <c r="B8" s="778"/>
      <c r="C8" s="779">
        <v>2025</v>
      </c>
      <c r="D8" s="780"/>
      <c r="E8" s="781" t="s">
        <v>3</v>
      </c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3"/>
      <c r="Q8" s="17"/>
    </row>
    <row r="9" spans="1:17" ht="18.75" customHeight="1" x14ac:dyDescent="0.35">
      <c r="A9" s="86"/>
      <c r="B9" s="87" t="s">
        <v>4</v>
      </c>
      <c r="C9" s="789" t="s">
        <v>222</v>
      </c>
      <c r="D9" s="790"/>
      <c r="E9" s="784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785"/>
      <c r="Q9" s="17"/>
    </row>
    <row r="10" spans="1:17" ht="23.25" x14ac:dyDescent="0.35">
      <c r="A10" s="791" t="s">
        <v>5</v>
      </c>
      <c r="B10" s="792"/>
      <c r="C10" s="789" t="s">
        <v>123</v>
      </c>
      <c r="D10" s="790"/>
      <c r="E10" s="784"/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785"/>
      <c r="Q10" s="17"/>
    </row>
    <row r="11" spans="1:17" ht="23.25" x14ac:dyDescent="0.35">
      <c r="A11" s="791" t="s">
        <v>6</v>
      </c>
      <c r="B11" s="792"/>
      <c r="C11" s="789" t="s">
        <v>7</v>
      </c>
      <c r="D11" s="790"/>
      <c r="E11" s="784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785"/>
      <c r="Q11" s="17"/>
    </row>
    <row r="12" spans="1:17" ht="24.75" customHeight="1" x14ac:dyDescent="0.3">
      <c r="A12" s="793" t="s">
        <v>8</v>
      </c>
      <c r="B12" s="794"/>
      <c r="C12" s="789" t="s">
        <v>9</v>
      </c>
      <c r="D12" s="790"/>
      <c r="E12" s="784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785"/>
      <c r="Q12" s="17"/>
    </row>
    <row r="13" spans="1:17" ht="21" customHeight="1" thickBot="1" x14ac:dyDescent="0.35">
      <c r="A13" s="88"/>
      <c r="B13" s="89" t="s">
        <v>10</v>
      </c>
      <c r="C13" s="789" t="s">
        <v>11</v>
      </c>
      <c r="D13" s="790"/>
      <c r="E13" s="784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785"/>
      <c r="Q13" s="17"/>
    </row>
    <row r="14" spans="1:17" ht="21" customHeight="1" x14ac:dyDescent="0.3">
      <c r="A14" s="19"/>
      <c r="B14" s="19"/>
      <c r="C14" s="58"/>
      <c r="D14" s="6"/>
      <c r="E14" s="784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785"/>
      <c r="Q14" s="17"/>
    </row>
    <row r="15" spans="1:17" ht="58.5" customHeight="1" thickBot="1" x14ac:dyDescent="0.35">
      <c r="A15" s="19"/>
      <c r="B15" s="19"/>
      <c r="C15" s="8"/>
      <c r="D15" s="6"/>
      <c r="E15" s="786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8"/>
      <c r="Q15" s="17"/>
    </row>
    <row r="16" spans="1:17" ht="15" customHeight="1" thickBot="1" x14ac:dyDescent="0.35">
      <c r="A16" s="19"/>
      <c r="B16" s="19"/>
      <c r="C16" s="8"/>
      <c r="D16" s="6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7"/>
    </row>
    <row r="17" spans="1:19" ht="7.5" customHeight="1" thickBot="1" x14ac:dyDescent="0.35">
      <c r="A17" s="768"/>
      <c r="B17" s="769"/>
      <c r="C17" s="769"/>
      <c r="D17" s="769"/>
      <c r="E17" s="769"/>
      <c r="F17" s="769"/>
      <c r="G17" s="769"/>
      <c r="H17" s="769"/>
      <c r="I17" s="769"/>
      <c r="J17" s="769"/>
      <c r="K17" s="769"/>
      <c r="L17" s="769"/>
      <c r="M17" s="769"/>
      <c r="N17" s="769"/>
      <c r="O17" s="769"/>
      <c r="P17" s="770"/>
    </row>
    <row r="18" spans="1:19" ht="39.75" thickBot="1" x14ac:dyDescent="0.65">
      <c r="A18" s="771" t="s">
        <v>124</v>
      </c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3"/>
    </row>
    <row r="19" spans="1:19" ht="8.25" customHeight="1" x14ac:dyDescent="0.35">
      <c r="A19" s="795"/>
      <c r="B19" s="796"/>
      <c r="C19" s="796"/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7"/>
    </row>
    <row r="20" spans="1:19" ht="19.5" customHeight="1" thickBot="1" x14ac:dyDescent="0.4">
      <c r="A20" s="91"/>
      <c r="B20" s="91"/>
      <c r="C20" s="91"/>
      <c r="D20" s="92"/>
      <c r="E20" s="32"/>
      <c r="F20" s="33"/>
      <c r="G20" s="33"/>
      <c r="H20" s="38"/>
      <c r="I20" s="33"/>
      <c r="J20" s="38"/>
      <c r="K20" s="33"/>
      <c r="L20" s="31"/>
      <c r="M20" s="31"/>
      <c r="N20" s="31"/>
      <c r="O20" s="31"/>
      <c r="P20" s="31"/>
    </row>
    <row r="21" spans="1:19" ht="98.25" customHeight="1" thickBot="1" x14ac:dyDescent="0.35">
      <c r="A21" s="93" t="s">
        <v>125</v>
      </c>
      <c r="B21" s="757" t="s">
        <v>126</v>
      </c>
      <c r="C21" s="798"/>
      <c r="D21" s="757" t="s">
        <v>127</v>
      </c>
      <c r="E21" s="758"/>
      <c r="F21" s="758"/>
      <c r="G21" s="758"/>
      <c r="H21" s="758"/>
      <c r="I21" s="95" t="s">
        <v>128</v>
      </c>
      <c r="J21" s="96" t="s">
        <v>129</v>
      </c>
      <c r="K21" s="320" t="s">
        <v>130</v>
      </c>
      <c r="L21" s="321" t="s">
        <v>131</v>
      </c>
      <c r="M21" s="97" t="s">
        <v>132</v>
      </c>
      <c r="N21" s="97" t="s">
        <v>133</v>
      </c>
      <c r="O21" s="799" t="s">
        <v>134</v>
      </c>
      <c r="P21" s="800"/>
    </row>
    <row r="22" spans="1:19" ht="57" customHeight="1" x14ac:dyDescent="0.3">
      <c r="A22" s="810" t="s">
        <v>135</v>
      </c>
      <c r="B22" s="811" t="s">
        <v>30</v>
      </c>
      <c r="C22" s="812"/>
      <c r="D22" s="801" t="s">
        <v>136</v>
      </c>
      <c r="E22" s="802"/>
      <c r="F22" s="802"/>
      <c r="G22" s="802"/>
      <c r="H22" s="803"/>
      <c r="I22" s="311">
        <v>14110903</v>
      </c>
      <c r="J22" s="311" t="s">
        <v>34</v>
      </c>
      <c r="K22" s="322">
        <v>44539</v>
      </c>
      <c r="L22" s="322">
        <v>44658</v>
      </c>
      <c r="M22" s="325">
        <v>1</v>
      </c>
      <c r="N22" s="325">
        <v>1</v>
      </c>
      <c r="O22" s="762" t="s">
        <v>137</v>
      </c>
      <c r="P22" s="762"/>
    </row>
    <row r="23" spans="1:19" ht="72.75" customHeight="1" x14ac:dyDescent="0.3">
      <c r="A23" s="805"/>
      <c r="B23" s="808"/>
      <c r="C23" s="809"/>
      <c r="D23" s="801" t="s">
        <v>138</v>
      </c>
      <c r="E23" s="802"/>
      <c r="F23" s="802"/>
      <c r="G23" s="802"/>
      <c r="H23" s="803"/>
      <c r="I23" s="311">
        <v>14110903</v>
      </c>
      <c r="J23" s="311" t="s">
        <v>34</v>
      </c>
      <c r="K23" s="322">
        <v>44580</v>
      </c>
      <c r="L23" s="322">
        <v>44840</v>
      </c>
      <c r="M23" s="325">
        <v>1</v>
      </c>
      <c r="N23" s="325">
        <v>1</v>
      </c>
      <c r="O23" s="762" t="s">
        <v>137</v>
      </c>
      <c r="P23" s="762"/>
    </row>
    <row r="24" spans="1:19" ht="69" customHeight="1" x14ac:dyDescent="0.3">
      <c r="A24" s="804" t="s">
        <v>135</v>
      </c>
      <c r="B24" s="806" t="s">
        <v>50</v>
      </c>
      <c r="C24" s="807"/>
      <c r="D24" s="759" t="s">
        <v>139</v>
      </c>
      <c r="E24" s="760"/>
      <c r="F24" s="760"/>
      <c r="G24" s="760"/>
      <c r="H24" s="761"/>
      <c r="I24" s="179">
        <v>14126478</v>
      </c>
      <c r="J24" s="763" t="s">
        <v>140</v>
      </c>
      <c r="K24" s="322">
        <v>44610</v>
      </c>
      <c r="L24" s="322">
        <v>45077</v>
      </c>
      <c r="M24" s="174">
        <v>1</v>
      </c>
      <c r="N24" s="174">
        <v>1</v>
      </c>
      <c r="O24" s="762" t="s">
        <v>137</v>
      </c>
      <c r="P24" s="762"/>
    </row>
    <row r="25" spans="1:19" ht="72" customHeight="1" x14ac:dyDescent="0.3">
      <c r="A25" s="805"/>
      <c r="B25" s="808"/>
      <c r="C25" s="809"/>
      <c r="D25" s="759" t="s">
        <v>141</v>
      </c>
      <c r="E25" s="760"/>
      <c r="F25" s="760"/>
      <c r="G25" s="760"/>
      <c r="H25" s="761"/>
      <c r="I25" s="179">
        <v>14126478</v>
      </c>
      <c r="J25" s="764"/>
      <c r="K25" s="322">
        <v>44656</v>
      </c>
      <c r="L25" s="322">
        <v>45016</v>
      </c>
      <c r="M25" s="174">
        <v>1</v>
      </c>
      <c r="N25" s="174">
        <v>1</v>
      </c>
      <c r="O25" s="762" t="s">
        <v>137</v>
      </c>
      <c r="P25" s="762"/>
    </row>
    <row r="26" spans="1:19" ht="63" customHeight="1" x14ac:dyDescent="0.3">
      <c r="A26" s="310" t="s">
        <v>135</v>
      </c>
      <c r="B26" s="752" t="s">
        <v>25</v>
      </c>
      <c r="C26" s="753"/>
      <c r="D26" s="759" t="s">
        <v>142</v>
      </c>
      <c r="E26" s="760"/>
      <c r="F26" s="760"/>
      <c r="G26" s="760"/>
      <c r="H26" s="761"/>
      <c r="I26" s="179">
        <v>16832825</v>
      </c>
      <c r="J26" s="179">
        <v>225121</v>
      </c>
      <c r="K26" s="322">
        <v>44895</v>
      </c>
      <c r="L26" s="322">
        <v>45255</v>
      </c>
      <c r="M26" s="174">
        <v>2.8000000000000001E-2</v>
      </c>
      <c r="N26" s="174">
        <v>0</v>
      </c>
      <c r="O26" s="528" t="s">
        <v>143</v>
      </c>
      <c r="P26" s="528"/>
    </row>
    <row r="27" spans="1:19" ht="87" customHeight="1" x14ac:dyDescent="0.3">
      <c r="A27" s="310" t="s">
        <v>135</v>
      </c>
      <c r="B27" s="752" t="s">
        <v>25</v>
      </c>
      <c r="C27" s="753"/>
      <c r="D27" s="759" t="s">
        <v>144</v>
      </c>
      <c r="E27" s="760"/>
      <c r="F27" s="760"/>
      <c r="G27" s="760"/>
      <c r="H27" s="761"/>
      <c r="I27" s="179">
        <v>14126478</v>
      </c>
      <c r="J27" s="179">
        <v>225122</v>
      </c>
      <c r="K27" s="322">
        <v>44610</v>
      </c>
      <c r="L27" s="322">
        <v>45096</v>
      </c>
      <c r="M27" s="377">
        <v>1</v>
      </c>
      <c r="N27" s="377">
        <v>1</v>
      </c>
      <c r="O27" s="501" t="s">
        <v>145</v>
      </c>
      <c r="P27" s="503"/>
    </row>
    <row r="28" spans="1:19" ht="93.75" customHeight="1" x14ac:dyDescent="0.3">
      <c r="A28" s="310" t="s">
        <v>135</v>
      </c>
      <c r="B28" s="752" t="s">
        <v>25</v>
      </c>
      <c r="C28" s="753"/>
      <c r="D28" s="759" t="s">
        <v>146</v>
      </c>
      <c r="E28" s="760"/>
      <c r="F28" s="760"/>
      <c r="G28" s="760"/>
      <c r="H28" s="761"/>
      <c r="I28" s="179">
        <v>1412678</v>
      </c>
      <c r="J28" s="179">
        <v>225120</v>
      </c>
      <c r="K28" s="322">
        <v>44666</v>
      </c>
      <c r="L28" s="322">
        <v>45105</v>
      </c>
      <c r="M28" s="377">
        <v>1</v>
      </c>
      <c r="N28" s="377">
        <v>1</v>
      </c>
      <c r="O28" s="501" t="s">
        <v>145</v>
      </c>
      <c r="P28" s="503"/>
    </row>
    <row r="29" spans="1:19" ht="92.25" customHeight="1" x14ac:dyDescent="0.3">
      <c r="A29" s="310" t="s">
        <v>135</v>
      </c>
      <c r="B29" s="752" t="s">
        <v>25</v>
      </c>
      <c r="C29" s="753"/>
      <c r="D29" s="754" t="s">
        <v>147</v>
      </c>
      <c r="E29" s="755"/>
      <c r="F29" s="755"/>
      <c r="G29" s="755"/>
      <c r="H29" s="756"/>
      <c r="I29" s="179">
        <v>14110903</v>
      </c>
      <c r="J29" s="179" t="s">
        <v>34</v>
      </c>
      <c r="K29" s="322">
        <v>44605</v>
      </c>
      <c r="L29" s="322">
        <f>+K29+90</f>
        <v>44695</v>
      </c>
      <c r="M29" s="377">
        <v>1</v>
      </c>
      <c r="N29" s="377">
        <v>1</v>
      </c>
      <c r="O29" s="501" t="s">
        <v>145</v>
      </c>
      <c r="P29" s="503"/>
    </row>
    <row r="30" spans="1:19" ht="96.75" customHeight="1" x14ac:dyDescent="0.3">
      <c r="A30" s="310" t="s">
        <v>135</v>
      </c>
      <c r="B30" s="752" t="s">
        <v>25</v>
      </c>
      <c r="C30" s="753"/>
      <c r="D30" s="754" t="s">
        <v>148</v>
      </c>
      <c r="E30" s="755"/>
      <c r="F30" s="755"/>
      <c r="G30" s="755"/>
      <c r="H30" s="756"/>
      <c r="I30" s="179">
        <v>14110903</v>
      </c>
      <c r="J30" s="179" t="s">
        <v>34</v>
      </c>
      <c r="K30" s="322">
        <v>44635</v>
      </c>
      <c r="L30" s="322">
        <f>+K30+120</f>
        <v>44755</v>
      </c>
      <c r="M30" s="377">
        <v>1</v>
      </c>
      <c r="N30" s="377">
        <v>1</v>
      </c>
      <c r="O30" s="501" t="s">
        <v>145</v>
      </c>
      <c r="P30" s="503"/>
      <c r="S30" s="378"/>
    </row>
    <row r="31" spans="1:19" ht="91.5" customHeight="1" x14ac:dyDescent="0.3">
      <c r="A31" s="310" t="s">
        <v>135</v>
      </c>
      <c r="B31" s="752" t="s">
        <v>25</v>
      </c>
      <c r="C31" s="753"/>
      <c r="D31" s="754" t="s">
        <v>149</v>
      </c>
      <c r="E31" s="755"/>
      <c r="F31" s="755"/>
      <c r="G31" s="755"/>
      <c r="H31" s="756"/>
      <c r="I31" s="179">
        <v>14110903</v>
      </c>
      <c r="J31" s="179" t="s">
        <v>34</v>
      </c>
      <c r="K31" s="322">
        <v>44635</v>
      </c>
      <c r="L31" s="322">
        <f>+K31+120</f>
        <v>44755</v>
      </c>
      <c r="M31" s="377">
        <v>1</v>
      </c>
      <c r="N31" s="377">
        <v>1</v>
      </c>
      <c r="O31" s="501" t="s">
        <v>145</v>
      </c>
      <c r="P31" s="503"/>
    </row>
    <row r="32" spans="1:19" ht="91.5" customHeight="1" x14ac:dyDescent="0.3">
      <c r="A32" s="310" t="s">
        <v>135</v>
      </c>
      <c r="B32" s="752" t="s">
        <v>25</v>
      </c>
      <c r="C32" s="753"/>
      <c r="D32" s="754" t="s">
        <v>150</v>
      </c>
      <c r="E32" s="755"/>
      <c r="F32" s="755"/>
      <c r="G32" s="755"/>
      <c r="H32" s="756"/>
      <c r="I32" s="179">
        <v>14110903</v>
      </c>
      <c r="J32" s="179" t="s">
        <v>34</v>
      </c>
      <c r="K32" s="322">
        <v>44635</v>
      </c>
      <c r="L32" s="322">
        <f>+K32+90</f>
        <v>44725</v>
      </c>
      <c r="M32" s="377">
        <v>1</v>
      </c>
      <c r="N32" s="377">
        <v>1</v>
      </c>
      <c r="O32" s="501" t="s">
        <v>145</v>
      </c>
      <c r="P32" s="503"/>
    </row>
    <row r="33" spans="1:16" ht="105" customHeight="1" x14ac:dyDescent="0.3">
      <c r="A33" s="330" t="s">
        <v>135</v>
      </c>
      <c r="B33" s="752" t="s">
        <v>28</v>
      </c>
      <c r="C33" s="753"/>
      <c r="D33" s="813" t="s">
        <v>151</v>
      </c>
      <c r="E33" s="814"/>
      <c r="F33" s="814"/>
      <c r="G33" s="814"/>
      <c r="H33" s="815"/>
      <c r="I33" s="179">
        <v>19716028</v>
      </c>
      <c r="J33" s="179" t="s">
        <v>34</v>
      </c>
      <c r="K33" s="322">
        <v>45280</v>
      </c>
      <c r="L33" s="322">
        <v>45322</v>
      </c>
      <c r="M33" s="377">
        <v>1</v>
      </c>
      <c r="N33" s="377">
        <v>1</v>
      </c>
      <c r="O33" s="501" t="s">
        <v>145</v>
      </c>
      <c r="P33" s="503"/>
    </row>
    <row r="34" spans="1:16" ht="84" customHeight="1" x14ac:dyDescent="0.35">
      <c r="A34" s="330" t="s">
        <v>135</v>
      </c>
      <c r="B34" s="752" t="s">
        <v>28</v>
      </c>
      <c r="C34" s="753"/>
      <c r="D34" s="817" t="s">
        <v>152</v>
      </c>
      <c r="E34" s="818"/>
      <c r="F34" s="818"/>
      <c r="G34" s="818"/>
      <c r="H34" s="819"/>
      <c r="I34" s="179">
        <v>19823940</v>
      </c>
      <c r="J34" s="179" t="s">
        <v>34</v>
      </c>
      <c r="K34" s="322">
        <v>45268</v>
      </c>
      <c r="L34" s="322">
        <v>45310</v>
      </c>
      <c r="M34" s="377">
        <v>1</v>
      </c>
      <c r="N34" s="377">
        <v>1</v>
      </c>
      <c r="O34" s="501" t="s">
        <v>145</v>
      </c>
      <c r="P34" s="503"/>
    </row>
    <row r="35" spans="1:16" ht="105" customHeight="1" x14ac:dyDescent="0.3">
      <c r="A35" s="330" t="s">
        <v>135</v>
      </c>
      <c r="B35" s="752" t="s">
        <v>28</v>
      </c>
      <c r="C35" s="753"/>
      <c r="D35" s="759" t="s">
        <v>153</v>
      </c>
      <c r="E35" s="760"/>
      <c r="F35" s="760"/>
      <c r="G35" s="760"/>
      <c r="H35" s="761"/>
      <c r="I35" s="179">
        <v>19723717</v>
      </c>
      <c r="J35" s="42" t="s">
        <v>140</v>
      </c>
      <c r="K35" s="322">
        <v>45392</v>
      </c>
      <c r="L35" s="322">
        <v>45545</v>
      </c>
      <c r="M35" s="174">
        <v>1</v>
      </c>
      <c r="N35" s="174">
        <v>1</v>
      </c>
      <c r="O35" s="501" t="s">
        <v>145</v>
      </c>
      <c r="P35" s="503"/>
    </row>
    <row r="36" spans="1:16" ht="79.5" customHeight="1" x14ac:dyDescent="0.35">
      <c r="A36" s="330" t="s">
        <v>135</v>
      </c>
      <c r="B36" s="752" t="s">
        <v>28</v>
      </c>
      <c r="C36" s="753"/>
      <c r="D36" s="759" t="s">
        <v>154</v>
      </c>
      <c r="E36" s="760"/>
      <c r="F36" s="760"/>
      <c r="G36" s="760"/>
      <c r="H36" s="761"/>
      <c r="I36" s="179">
        <v>20626592</v>
      </c>
      <c r="J36" s="179" t="s">
        <v>34</v>
      </c>
      <c r="K36" s="322">
        <v>45397</v>
      </c>
      <c r="L36" s="322">
        <v>45641</v>
      </c>
      <c r="M36" s="174">
        <v>1</v>
      </c>
      <c r="N36" s="174">
        <v>1</v>
      </c>
      <c r="O36" s="816" t="s">
        <v>155</v>
      </c>
      <c r="P36" s="816"/>
    </row>
    <row r="37" spans="1:16" ht="98.25" customHeight="1" x14ac:dyDescent="0.35">
      <c r="A37" s="330" t="s">
        <v>135</v>
      </c>
      <c r="B37" s="752" t="s">
        <v>28</v>
      </c>
      <c r="C37" s="753"/>
      <c r="D37" s="759" t="s">
        <v>156</v>
      </c>
      <c r="E37" s="760"/>
      <c r="F37" s="760"/>
      <c r="G37" s="760"/>
      <c r="H37" s="761"/>
      <c r="I37" s="179">
        <v>20625774</v>
      </c>
      <c r="J37" s="42" t="s">
        <v>140</v>
      </c>
      <c r="K37" s="322">
        <v>45434</v>
      </c>
      <c r="L37" s="322">
        <v>45531</v>
      </c>
      <c r="M37" s="174">
        <v>1</v>
      </c>
      <c r="N37" s="174">
        <v>1</v>
      </c>
      <c r="O37" s="816" t="s">
        <v>157</v>
      </c>
      <c r="P37" s="816"/>
    </row>
    <row r="38" spans="1:16" ht="98.25" customHeight="1" x14ac:dyDescent="0.35">
      <c r="A38" s="330" t="s">
        <v>135</v>
      </c>
      <c r="B38" s="752" t="s">
        <v>28</v>
      </c>
      <c r="C38" s="753"/>
      <c r="D38" s="759" t="s">
        <v>158</v>
      </c>
      <c r="E38" s="760"/>
      <c r="F38" s="760"/>
      <c r="G38" s="760"/>
      <c r="H38" s="761"/>
      <c r="I38" s="179">
        <v>20977425</v>
      </c>
      <c r="J38" s="42" t="s">
        <v>140</v>
      </c>
      <c r="K38" s="322">
        <v>45365</v>
      </c>
      <c r="L38" s="322">
        <v>45530</v>
      </c>
      <c r="M38" s="174">
        <v>1</v>
      </c>
      <c r="N38" s="174">
        <v>1</v>
      </c>
      <c r="O38" s="816" t="s">
        <v>157</v>
      </c>
      <c r="P38" s="816"/>
    </row>
    <row r="39" spans="1:16" ht="98.25" customHeight="1" x14ac:dyDescent="0.3">
      <c r="A39" s="330" t="s">
        <v>135</v>
      </c>
      <c r="B39" s="752" t="s">
        <v>28</v>
      </c>
      <c r="C39" s="753"/>
      <c r="D39" s="823" t="s">
        <v>159</v>
      </c>
      <c r="E39" s="824"/>
      <c r="F39" s="824"/>
      <c r="G39" s="824"/>
      <c r="H39" s="825"/>
      <c r="I39" s="179">
        <v>22886087</v>
      </c>
      <c r="J39" s="42" t="s">
        <v>34</v>
      </c>
      <c r="K39" s="322">
        <v>45588</v>
      </c>
      <c r="L39" s="322"/>
      <c r="M39" s="174">
        <v>0</v>
      </c>
      <c r="N39" s="174">
        <v>0</v>
      </c>
      <c r="O39" s="528" t="s">
        <v>160</v>
      </c>
      <c r="P39" s="528"/>
    </row>
    <row r="40" spans="1:16" ht="98.25" customHeight="1" x14ac:dyDescent="0.3">
      <c r="A40" s="330" t="s">
        <v>135</v>
      </c>
      <c r="B40" s="752" t="s">
        <v>28</v>
      </c>
      <c r="C40" s="753"/>
      <c r="D40" s="820" t="s">
        <v>161</v>
      </c>
      <c r="E40" s="821"/>
      <c r="F40" s="821"/>
      <c r="G40" s="821"/>
      <c r="H40" s="822"/>
      <c r="I40" s="179">
        <v>24276502</v>
      </c>
      <c r="J40" s="42" t="s">
        <v>34</v>
      </c>
      <c r="K40" s="322">
        <v>45686</v>
      </c>
      <c r="L40" s="322">
        <v>45898</v>
      </c>
      <c r="M40" s="174">
        <v>1</v>
      </c>
      <c r="N40" s="174">
        <v>1</v>
      </c>
      <c r="O40" s="528" t="s">
        <v>217</v>
      </c>
      <c r="P40" s="528"/>
    </row>
    <row r="41" spans="1:16" ht="98.25" customHeight="1" x14ac:dyDescent="0.3">
      <c r="A41" s="330" t="s">
        <v>135</v>
      </c>
      <c r="B41" s="752" t="s">
        <v>28</v>
      </c>
      <c r="C41" s="753"/>
      <c r="D41" s="820" t="s">
        <v>162</v>
      </c>
      <c r="E41" s="821"/>
      <c r="F41" s="821"/>
      <c r="G41" s="821"/>
      <c r="H41" s="822"/>
      <c r="I41" s="179">
        <v>24405205</v>
      </c>
      <c r="J41" s="42" t="s">
        <v>34</v>
      </c>
      <c r="K41" s="322">
        <v>45693</v>
      </c>
      <c r="L41" s="322">
        <v>45908</v>
      </c>
      <c r="M41" s="174">
        <v>1</v>
      </c>
      <c r="N41" s="174">
        <v>1</v>
      </c>
      <c r="O41" s="528" t="s">
        <v>163</v>
      </c>
      <c r="P41" s="528"/>
    </row>
    <row r="42" spans="1:16" ht="98.25" customHeight="1" x14ac:dyDescent="0.3">
      <c r="A42" s="330" t="s">
        <v>135</v>
      </c>
      <c r="B42" s="752" t="s">
        <v>28</v>
      </c>
      <c r="C42" s="753"/>
      <c r="D42" s="820" t="s">
        <v>164</v>
      </c>
      <c r="E42" s="821"/>
      <c r="F42" s="821"/>
      <c r="G42" s="821"/>
      <c r="H42" s="822"/>
      <c r="I42" s="179">
        <v>23908319</v>
      </c>
      <c r="J42" s="42" t="s">
        <v>34</v>
      </c>
      <c r="K42" s="322">
        <v>45663</v>
      </c>
      <c r="L42" s="322"/>
      <c r="M42" s="174"/>
      <c r="N42" s="174"/>
      <c r="O42" s="528" t="s">
        <v>165</v>
      </c>
      <c r="P42" s="528"/>
    </row>
    <row r="43" spans="1:16" ht="98.25" customHeight="1" x14ac:dyDescent="0.3">
      <c r="A43" s="330" t="s">
        <v>135</v>
      </c>
      <c r="B43" s="752" t="s">
        <v>28</v>
      </c>
      <c r="C43" s="753"/>
      <c r="D43" s="820" t="s">
        <v>166</v>
      </c>
      <c r="E43" s="821"/>
      <c r="F43" s="821"/>
      <c r="G43" s="821"/>
      <c r="H43" s="822"/>
      <c r="I43" s="179">
        <v>23908548</v>
      </c>
      <c r="J43" s="42" t="s">
        <v>34</v>
      </c>
      <c r="K43" s="322">
        <v>45695</v>
      </c>
      <c r="L43" s="322">
        <v>45944</v>
      </c>
      <c r="M43" s="174">
        <v>1</v>
      </c>
      <c r="N43" s="174">
        <v>1</v>
      </c>
      <c r="O43" s="528" t="s">
        <v>167</v>
      </c>
      <c r="P43" s="528"/>
    </row>
    <row r="44" spans="1:16" ht="98.25" customHeight="1" x14ac:dyDescent="0.3">
      <c r="A44" s="330" t="s">
        <v>135</v>
      </c>
      <c r="B44" s="752" t="s">
        <v>28</v>
      </c>
      <c r="C44" s="753"/>
      <c r="D44" s="820" t="s">
        <v>214</v>
      </c>
      <c r="E44" s="821"/>
      <c r="F44" s="821"/>
      <c r="G44" s="821"/>
      <c r="H44" s="822"/>
      <c r="I44" s="179">
        <v>24244236</v>
      </c>
      <c r="J44" s="42" t="s">
        <v>34</v>
      </c>
      <c r="K44" s="322">
        <v>45663</v>
      </c>
      <c r="L44" s="322">
        <v>45853</v>
      </c>
      <c r="M44" s="174">
        <v>1</v>
      </c>
      <c r="N44" s="174">
        <v>1</v>
      </c>
      <c r="O44" s="528" t="s">
        <v>165</v>
      </c>
      <c r="P44" s="528"/>
    </row>
    <row r="45" spans="1:16" ht="89.25" customHeight="1" x14ac:dyDescent="0.3">
      <c r="A45" s="330" t="s">
        <v>135</v>
      </c>
      <c r="B45" s="752" t="s">
        <v>28</v>
      </c>
      <c r="C45" s="753"/>
      <c r="D45" s="820" t="s">
        <v>215</v>
      </c>
      <c r="E45" s="821"/>
      <c r="F45" s="821"/>
      <c r="G45" s="821"/>
      <c r="H45" s="822"/>
      <c r="I45" s="445" t="s">
        <v>34</v>
      </c>
      <c r="J45" s="444" t="s">
        <v>34</v>
      </c>
      <c r="K45" s="322">
        <v>45833</v>
      </c>
      <c r="L45" s="322">
        <v>45846</v>
      </c>
      <c r="M45" s="174">
        <v>1</v>
      </c>
      <c r="N45" s="174">
        <v>1</v>
      </c>
      <c r="O45" s="501" t="s">
        <v>145</v>
      </c>
      <c r="P45" s="503"/>
    </row>
    <row r="46" spans="1:16" ht="86.25" customHeight="1" x14ac:dyDescent="0.3">
      <c r="A46" s="330" t="s">
        <v>135</v>
      </c>
      <c r="B46" s="752" t="s">
        <v>28</v>
      </c>
      <c r="C46" s="753"/>
      <c r="D46" s="820" t="s">
        <v>216</v>
      </c>
      <c r="E46" s="821"/>
      <c r="F46" s="821"/>
      <c r="G46" s="821"/>
      <c r="H46" s="822"/>
      <c r="I46" s="445" t="s">
        <v>34</v>
      </c>
      <c r="J46" s="444" t="s">
        <v>34</v>
      </c>
      <c r="K46" s="322">
        <v>45833</v>
      </c>
      <c r="L46" s="322">
        <v>45849</v>
      </c>
      <c r="M46" s="174">
        <v>1</v>
      </c>
      <c r="N46" s="174">
        <v>1</v>
      </c>
      <c r="O46" s="501" t="s">
        <v>145</v>
      </c>
      <c r="P46" s="503"/>
    </row>
    <row r="47" spans="1:16" ht="64.5" customHeight="1" x14ac:dyDescent="0.3">
      <c r="A47" s="330" t="s">
        <v>229</v>
      </c>
      <c r="B47" s="752" t="s">
        <v>230</v>
      </c>
      <c r="C47" s="753"/>
      <c r="D47" s="820" t="s">
        <v>231</v>
      </c>
      <c r="E47" s="821"/>
      <c r="F47" s="821"/>
      <c r="G47" s="821"/>
      <c r="H47" s="822"/>
      <c r="I47" s="460">
        <v>26866692</v>
      </c>
      <c r="J47" s="459" t="s">
        <v>34</v>
      </c>
      <c r="K47" s="322">
        <v>45905</v>
      </c>
      <c r="L47" s="322"/>
      <c r="M47" s="174">
        <v>0</v>
      </c>
      <c r="N47" s="174">
        <v>0</v>
      </c>
      <c r="O47" s="501" t="s">
        <v>232</v>
      </c>
      <c r="P47" s="503"/>
    </row>
    <row r="48" spans="1:16" ht="37.5" customHeight="1" x14ac:dyDescent="0.3">
      <c r="A48" s="428"/>
      <c r="B48" s="428"/>
      <c r="C48" s="428"/>
      <c r="D48" s="428"/>
      <c r="E48" s="446"/>
      <c r="F48" s="446"/>
      <c r="G48" s="446"/>
    </row>
    <row r="49" spans="2:15" ht="36" customHeight="1" x14ac:dyDescent="0.3">
      <c r="B49" s="52"/>
      <c r="C49" s="15"/>
      <c r="D49" s="15"/>
      <c r="E49" s="15"/>
      <c r="F49" s="16"/>
      <c r="G49" s="1"/>
      <c r="H49" s="1"/>
      <c r="I49" s="1"/>
      <c r="J49" s="52"/>
      <c r="K49" s="15"/>
      <c r="L49" s="15"/>
      <c r="M49" s="15"/>
      <c r="N49" s="15"/>
      <c r="O49" s="16"/>
    </row>
    <row r="50" spans="2:15" ht="95.25" customHeight="1" x14ac:dyDescent="0.3">
      <c r="B50" s="515" t="s">
        <v>67</v>
      </c>
      <c r="C50" s="516"/>
      <c r="D50" s="516"/>
      <c r="E50" s="516"/>
      <c r="F50" s="517"/>
      <c r="J50" s="515" t="s">
        <v>68</v>
      </c>
      <c r="K50" s="516"/>
      <c r="L50" s="516"/>
      <c r="M50" s="516"/>
      <c r="N50" s="516"/>
      <c r="O50" s="517"/>
    </row>
  </sheetData>
  <autoFilter ref="B21:P21" xr:uid="{AE4DD6E2-9121-4C63-8B4F-6FBEF1FEFAD8}">
    <filterColumn colId="0" showButton="0"/>
    <filterColumn colId="2" showButton="0"/>
    <filterColumn colId="3" showButton="0"/>
    <filterColumn colId="4" showButton="0"/>
    <filterColumn colId="5" showButton="0"/>
    <filterColumn colId="13" showButton="0"/>
  </autoFilter>
  <mergeCells count="102">
    <mergeCell ref="B46:C46"/>
    <mergeCell ref="D46:H46"/>
    <mergeCell ref="B34:C34"/>
    <mergeCell ref="D34:H34"/>
    <mergeCell ref="B47:C47"/>
    <mergeCell ref="D47:H47"/>
    <mergeCell ref="O47:P47"/>
    <mergeCell ref="D43:H43"/>
    <mergeCell ref="B44:C44"/>
    <mergeCell ref="D44:H44"/>
    <mergeCell ref="O34:P3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O40:P40"/>
    <mergeCell ref="O41:P41"/>
    <mergeCell ref="O42:P42"/>
    <mergeCell ref="B45:C45"/>
    <mergeCell ref="D45:H45"/>
    <mergeCell ref="O45:P45"/>
    <mergeCell ref="A17:P17"/>
    <mergeCell ref="O24:P24"/>
    <mergeCell ref="A18:P18"/>
    <mergeCell ref="A19:P19"/>
    <mergeCell ref="B21:C21"/>
    <mergeCell ref="O21:P21"/>
    <mergeCell ref="D22:H22"/>
    <mergeCell ref="D23:H23"/>
    <mergeCell ref="A24:A25"/>
    <mergeCell ref="B24:C25"/>
    <mergeCell ref="D25:H25"/>
    <mergeCell ref="A22:A23"/>
    <mergeCell ref="B22:C23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B50:F50"/>
    <mergeCell ref="J50:O50"/>
    <mergeCell ref="D21:H21"/>
    <mergeCell ref="D24:H24"/>
    <mergeCell ref="O26:P26"/>
    <mergeCell ref="O22:P22"/>
    <mergeCell ref="O23:P23"/>
    <mergeCell ref="J24:J25"/>
    <mergeCell ref="O25:P25"/>
    <mergeCell ref="B26:C26"/>
    <mergeCell ref="D26:H26"/>
    <mergeCell ref="B38:C38"/>
    <mergeCell ref="D38:H38"/>
    <mergeCell ref="B35:C35"/>
    <mergeCell ref="B36:C36"/>
    <mergeCell ref="B37:C37"/>
    <mergeCell ref="B27:C27"/>
    <mergeCell ref="D27:H27"/>
    <mergeCell ref="B28:C28"/>
    <mergeCell ref="D28:H28"/>
    <mergeCell ref="O27:P27"/>
    <mergeCell ref="O28:P28"/>
    <mergeCell ref="B29:C29"/>
    <mergeCell ref="B30:C30"/>
    <mergeCell ref="O46:P46"/>
    <mergeCell ref="B31:C31"/>
    <mergeCell ref="B32:C32"/>
    <mergeCell ref="D29:H29"/>
    <mergeCell ref="D30:H30"/>
    <mergeCell ref="D31:H31"/>
    <mergeCell ref="D32:H32"/>
    <mergeCell ref="O43:P43"/>
    <mergeCell ref="O44:P44"/>
    <mergeCell ref="O29:P29"/>
    <mergeCell ref="O30:P30"/>
    <mergeCell ref="O31:P31"/>
    <mergeCell ref="O32:P32"/>
    <mergeCell ref="O39:P39"/>
    <mergeCell ref="D33:H33"/>
    <mergeCell ref="B33:C33"/>
    <mergeCell ref="O33:P33"/>
    <mergeCell ref="O38:P38"/>
    <mergeCell ref="D35:H35"/>
    <mergeCell ref="O35:P35"/>
    <mergeCell ref="O36:P36"/>
    <mergeCell ref="O37:P37"/>
    <mergeCell ref="D36:H36"/>
    <mergeCell ref="D37:H37"/>
  </mergeCells>
  <phoneticPr fontId="35" type="noConversion"/>
  <printOptions horizontalCentered="1"/>
  <pageMargins left="0.39370078740157483" right="0.11811023622047245" top="0.74803149606299213" bottom="0.74803149606299213" header="0.31496062992125984" footer="0.31496062992125984"/>
  <pageSetup scale="30" orientation="landscape" r:id="rId1"/>
  <rowBreaks count="1" manualBreakCount="1">
    <brk id="3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0"/>
  <sheetViews>
    <sheetView topLeftCell="A58" zoomScaleNormal="100" workbookViewId="0">
      <selection activeCell="M63" sqref="M63"/>
    </sheetView>
  </sheetViews>
  <sheetFormatPr baseColWidth="10" defaultColWidth="11.42578125" defaultRowHeight="15" x14ac:dyDescent="0.25"/>
  <cols>
    <col min="1" max="1" width="6.140625" customWidth="1"/>
    <col min="2" max="2" width="50.85546875" customWidth="1"/>
    <col min="3" max="3" width="12.7109375" bestFit="1" customWidth="1"/>
    <col min="4" max="4" width="2.140625" customWidth="1"/>
    <col min="5" max="5" width="12.7109375" bestFit="1" customWidth="1"/>
    <col min="7" max="7" width="12.7109375" bestFit="1" customWidth="1"/>
  </cols>
  <sheetData>
    <row r="1" spans="1:6" x14ac:dyDescent="0.25">
      <c r="A1" s="826" t="s">
        <v>168</v>
      </c>
      <c r="B1" s="826"/>
      <c r="C1" s="826"/>
      <c r="D1" s="826"/>
      <c r="E1" s="826"/>
    </row>
    <row r="2" spans="1:6" ht="8.25" customHeight="1" x14ac:dyDescent="0.25">
      <c r="A2" s="319"/>
      <c r="B2" s="319"/>
      <c r="C2" s="319"/>
      <c r="D2" s="319"/>
      <c r="E2" s="319"/>
      <c r="F2" s="319"/>
    </row>
    <row r="3" spans="1:6" ht="30" x14ac:dyDescent="0.25">
      <c r="B3" s="315" t="s">
        <v>169</v>
      </c>
      <c r="C3" s="316" t="s">
        <v>21</v>
      </c>
      <c r="E3" s="395" t="s">
        <v>170</v>
      </c>
    </row>
    <row r="4" spans="1:6" x14ac:dyDescent="0.25">
      <c r="A4">
        <v>14</v>
      </c>
      <c r="B4" t="s">
        <v>171</v>
      </c>
      <c r="C4" s="376">
        <v>0</v>
      </c>
      <c r="D4" s="312"/>
      <c r="E4" s="376"/>
    </row>
    <row r="5" spans="1:6" x14ac:dyDescent="0.25">
      <c r="B5" t="s">
        <v>172</v>
      </c>
      <c r="C5" s="376">
        <v>0</v>
      </c>
      <c r="D5" s="312"/>
      <c r="E5" s="376"/>
    </row>
    <row r="6" spans="1:6" x14ac:dyDescent="0.25">
      <c r="C6" s="379">
        <f>SUM(C4:C5)</f>
        <v>0</v>
      </c>
      <c r="D6" s="312"/>
      <c r="E6" s="379">
        <f>SUM(E4:E5)</f>
        <v>0</v>
      </c>
    </row>
    <row r="7" spans="1:6" ht="9" customHeight="1" x14ac:dyDescent="0.25">
      <c r="C7" s="376"/>
      <c r="D7" s="312"/>
      <c r="E7" s="376"/>
    </row>
    <row r="8" spans="1:6" ht="30" x14ac:dyDescent="0.25">
      <c r="B8" s="315" t="s">
        <v>173</v>
      </c>
      <c r="C8" s="392" t="s">
        <v>174</v>
      </c>
      <c r="D8" s="312"/>
      <c r="E8" s="376"/>
    </row>
    <row r="9" spans="1:6" x14ac:dyDescent="0.25">
      <c r="A9" s="372" t="s">
        <v>175</v>
      </c>
      <c r="B9" t="s">
        <v>176</v>
      </c>
      <c r="C9" s="376">
        <v>0</v>
      </c>
      <c r="D9" s="312"/>
      <c r="E9" s="376"/>
    </row>
    <row r="10" spans="1:6" x14ac:dyDescent="0.25">
      <c r="A10" s="372" t="s">
        <v>175</v>
      </c>
      <c r="B10" t="s">
        <v>172</v>
      </c>
      <c r="C10" s="376">
        <v>0</v>
      </c>
      <c r="D10" s="312"/>
      <c r="E10" s="376"/>
    </row>
    <row r="11" spans="1:6" x14ac:dyDescent="0.25">
      <c r="C11" s="379">
        <f>SUM(C9:C10)</f>
        <v>0</v>
      </c>
      <c r="D11" s="312"/>
      <c r="E11" s="376">
        <f>SUM(E9:E10)</f>
        <v>0</v>
      </c>
    </row>
    <row r="12" spans="1:6" ht="6.75" customHeight="1" x14ac:dyDescent="0.25">
      <c r="C12" s="376"/>
      <c r="D12" s="312"/>
      <c r="E12" s="376"/>
    </row>
    <row r="13" spans="1:6" ht="30" hidden="1" x14ac:dyDescent="0.25">
      <c r="B13" s="315" t="s">
        <v>177</v>
      </c>
      <c r="C13" s="392" t="s">
        <v>174</v>
      </c>
      <c r="D13" s="312"/>
      <c r="E13" s="376"/>
    </row>
    <row r="14" spans="1:6" hidden="1" x14ac:dyDescent="0.25">
      <c r="A14" s="372" t="s">
        <v>178</v>
      </c>
      <c r="B14" s="373">
        <v>261</v>
      </c>
      <c r="C14" s="393">
        <v>0</v>
      </c>
      <c r="D14" s="312"/>
      <c r="E14" s="376"/>
    </row>
    <row r="15" spans="1:6" hidden="1" x14ac:dyDescent="0.25">
      <c r="A15" s="372" t="s">
        <v>178</v>
      </c>
      <c r="B15" s="373">
        <v>268</v>
      </c>
      <c r="C15" s="393">
        <v>0</v>
      </c>
      <c r="D15" s="312"/>
      <c r="E15" s="376"/>
    </row>
    <row r="16" spans="1:6" hidden="1" x14ac:dyDescent="0.25">
      <c r="A16" s="372" t="s">
        <v>178</v>
      </c>
      <c r="B16" s="373">
        <v>272</v>
      </c>
      <c r="C16" s="393">
        <v>0</v>
      </c>
      <c r="D16" s="312"/>
      <c r="E16" s="376"/>
    </row>
    <row r="17" spans="1:7" hidden="1" x14ac:dyDescent="0.25">
      <c r="A17" s="372" t="s">
        <v>178</v>
      </c>
      <c r="B17" s="373">
        <v>283</v>
      </c>
      <c r="C17" s="393">
        <v>0</v>
      </c>
      <c r="D17" s="312"/>
      <c r="E17" s="376"/>
    </row>
    <row r="18" spans="1:7" hidden="1" x14ac:dyDescent="0.25">
      <c r="A18" s="372" t="s">
        <v>178</v>
      </c>
      <c r="B18" s="373">
        <v>286</v>
      </c>
      <c r="C18" s="393">
        <v>0</v>
      </c>
      <c r="D18" s="312"/>
      <c r="E18" s="376"/>
    </row>
    <row r="19" spans="1:7" hidden="1" x14ac:dyDescent="0.25">
      <c r="A19" s="372" t="s">
        <v>178</v>
      </c>
      <c r="B19" s="373">
        <v>291</v>
      </c>
      <c r="C19" s="393">
        <v>0</v>
      </c>
      <c r="D19" s="312"/>
      <c r="E19" s="376">
        <v>0</v>
      </c>
    </row>
    <row r="20" spans="1:7" hidden="1" x14ac:dyDescent="0.25">
      <c r="A20" s="372" t="s">
        <v>178</v>
      </c>
      <c r="B20" s="373">
        <v>293</v>
      </c>
      <c r="C20" s="393">
        <v>0</v>
      </c>
      <c r="D20" s="312"/>
      <c r="E20" s="376">
        <v>0</v>
      </c>
    </row>
    <row r="21" spans="1:7" hidden="1" x14ac:dyDescent="0.25">
      <c r="A21" s="372" t="s">
        <v>178</v>
      </c>
      <c r="B21" s="373">
        <v>294</v>
      </c>
      <c r="C21" s="393">
        <v>0</v>
      </c>
      <c r="D21" s="312"/>
      <c r="E21" s="376"/>
    </row>
    <row r="22" spans="1:7" hidden="1" x14ac:dyDescent="0.25">
      <c r="A22" s="372" t="s">
        <v>178</v>
      </c>
      <c r="B22" s="373">
        <v>295</v>
      </c>
      <c r="C22" s="393">
        <v>0</v>
      </c>
      <c r="D22" s="312"/>
      <c r="E22" s="376"/>
    </row>
    <row r="23" spans="1:7" hidden="1" x14ac:dyDescent="0.25">
      <c r="A23" s="372" t="s">
        <v>178</v>
      </c>
      <c r="B23" s="373">
        <v>298</v>
      </c>
      <c r="C23" s="393">
        <v>0</v>
      </c>
      <c r="D23" s="312"/>
      <c r="E23" s="376"/>
    </row>
    <row r="24" spans="1:7" hidden="1" x14ac:dyDescent="0.25">
      <c r="A24" s="372" t="s">
        <v>178</v>
      </c>
      <c r="B24" s="373">
        <v>299</v>
      </c>
      <c r="C24" s="393">
        <v>0</v>
      </c>
      <c r="D24" s="312"/>
      <c r="E24" s="376"/>
    </row>
    <row r="25" spans="1:7" hidden="1" x14ac:dyDescent="0.25">
      <c r="A25" s="372" t="s">
        <v>178</v>
      </c>
      <c r="B25" s="373">
        <v>322</v>
      </c>
      <c r="C25" s="393">
        <v>0</v>
      </c>
      <c r="D25" s="312"/>
      <c r="E25" s="376">
        <v>0</v>
      </c>
    </row>
    <row r="26" spans="1:7" hidden="1" x14ac:dyDescent="0.25">
      <c r="A26" s="372" t="s">
        <v>178</v>
      </c>
      <c r="B26" s="373">
        <v>323</v>
      </c>
      <c r="C26" s="393">
        <v>0</v>
      </c>
      <c r="D26" s="312"/>
      <c r="E26" s="376">
        <v>0</v>
      </c>
    </row>
    <row r="27" spans="1:7" hidden="1" x14ac:dyDescent="0.25">
      <c r="A27" s="372" t="s">
        <v>178</v>
      </c>
      <c r="B27" s="373">
        <v>324</v>
      </c>
      <c r="C27" s="393">
        <v>0</v>
      </c>
      <c r="D27" s="312"/>
      <c r="E27" s="376">
        <v>0</v>
      </c>
    </row>
    <row r="28" spans="1:7" hidden="1" x14ac:dyDescent="0.25">
      <c r="A28" s="372" t="s">
        <v>178</v>
      </c>
      <c r="B28" s="373">
        <v>329</v>
      </c>
      <c r="C28" s="393">
        <v>0</v>
      </c>
      <c r="D28" s="312"/>
      <c r="E28" s="376">
        <v>0</v>
      </c>
    </row>
    <row r="29" spans="1:7" hidden="1" x14ac:dyDescent="0.25">
      <c r="B29" s="315"/>
      <c r="C29" s="389">
        <f>SUM(C14:C28)</f>
        <v>0</v>
      </c>
      <c r="D29" s="389"/>
      <c r="E29" s="389">
        <f>SUM(E14:E28)</f>
        <v>0</v>
      </c>
    </row>
    <row r="30" spans="1:7" x14ac:dyDescent="0.25">
      <c r="A30">
        <v>14</v>
      </c>
      <c r="B30" t="s">
        <v>179</v>
      </c>
      <c r="C30" s="447">
        <f>62414+17586</f>
        <v>80000</v>
      </c>
      <c r="D30" s="389"/>
      <c r="E30" s="448">
        <v>0</v>
      </c>
    </row>
    <row r="31" spans="1:7" x14ac:dyDescent="0.25">
      <c r="A31">
        <v>14</v>
      </c>
      <c r="B31" t="s">
        <v>180</v>
      </c>
      <c r="C31" s="393">
        <f>5061083+568567-61150-101120-45000+4000-1763860-1000000</f>
        <v>2662520</v>
      </c>
      <c r="E31" s="376">
        <f>266264+2373450</f>
        <v>2639714</v>
      </c>
      <c r="G31" s="312"/>
    </row>
    <row r="32" spans="1:7" x14ac:dyDescent="0.25">
      <c r="A32">
        <v>14</v>
      </c>
      <c r="B32" t="s">
        <v>176</v>
      </c>
      <c r="C32" s="376">
        <v>0</v>
      </c>
      <c r="D32" s="312"/>
      <c r="E32" s="376">
        <v>0</v>
      </c>
    </row>
    <row r="33" spans="1:7" x14ac:dyDescent="0.25">
      <c r="A33">
        <v>14</v>
      </c>
      <c r="B33" t="s">
        <v>213</v>
      </c>
      <c r="C33" s="376">
        <f>650000+50000</f>
        <v>700000</v>
      </c>
      <c r="D33" s="312"/>
      <c r="E33" s="376">
        <v>0</v>
      </c>
    </row>
    <row r="34" spans="1:7" x14ac:dyDescent="0.25">
      <c r="A34">
        <v>14</v>
      </c>
      <c r="B34" t="s">
        <v>220</v>
      </c>
      <c r="C34" s="376">
        <f>805000*3</f>
        <v>2415000</v>
      </c>
      <c r="D34" s="312"/>
      <c r="E34" s="376"/>
    </row>
    <row r="35" spans="1:7" x14ac:dyDescent="0.25">
      <c r="A35">
        <v>14</v>
      </c>
      <c r="B35" t="s">
        <v>181</v>
      </c>
      <c r="C35" s="376">
        <f>174720-173500</f>
        <v>1220</v>
      </c>
      <c r="D35" s="312"/>
      <c r="E35" s="376">
        <v>0</v>
      </c>
    </row>
    <row r="36" spans="1:7" x14ac:dyDescent="0.25">
      <c r="A36">
        <v>14</v>
      </c>
      <c r="B36" t="s">
        <v>219</v>
      </c>
      <c r="C36" s="376">
        <v>700000</v>
      </c>
      <c r="D36" s="312"/>
      <c r="E36" s="376">
        <v>0</v>
      </c>
    </row>
    <row r="37" spans="1:7" x14ac:dyDescent="0.25">
      <c r="A37">
        <v>14</v>
      </c>
      <c r="B37" t="s">
        <v>172</v>
      </c>
      <c r="C37" s="376">
        <v>44200</v>
      </c>
      <c r="D37" s="312"/>
      <c r="E37" s="376">
        <v>44200</v>
      </c>
    </row>
    <row r="38" spans="1:7" x14ac:dyDescent="0.25">
      <c r="A38">
        <v>14</v>
      </c>
      <c r="B38" t="s">
        <v>182</v>
      </c>
      <c r="C38" s="376">
        <f>118750-57994-56661</f>
        <v>4095</v>
      </c>
      <c r="D38" s="312"/>
      <c r="E38" s="376">
        <v>4095</v>
      </c>
    </row>
    <row r="39" spans="1:7" x14ac:dyDescent="0.25">
      <c r="A39">
        <v>14</v>
      </c>
      <c r="B39" t="s">
        <v>183</v>
      </c>
      <c r="C39" s="376">
        <v>31500</v>
      </c>
      <c r="D39" s="312"/>
      <c r="E39" s="376">
        <v>31500</v>
      </c>
    </row>
    <row r="40" spans="1:7" x14ac:dyDescent="0.25">
      <c r="A40">
        <v>14</v>
      </c>
      <c r="B40" t="s">
        <v>184</v>
      </c>
      <c r="C40" s="376">
        <f>82500-78300</f>
        <v>4200</v>
      </c>
      <c r="D40" s="312"/>
      <c r="E40" s="376">
        <v>4200</v>
      </c>
    </row>
    <row r="41" spans="1:7" x14ac:dyDescent="0.25">
      <c r="A41">
        <v>14</v>
      </c>
      <c r="B41" t="s">
        <v>185</v>
      </c>
      <c r="C41" s="376">
        <f>2756250-2709450+4000</f>
        <v>50800</v>
      </c>
      <c r="D41" s="312"/>
      <c r="E41" s="376">
        <v>2800</v>
      </c>
    </row>
    <row r="42" spans="1:7" x14ac:dyDescent="0.25">
      <c r="A42">
        <v>14</v>
      </c>
      <c r="B42" t="s">
        <v>186</v>
      </c>
      <c r="C42" s="376">
        <f>183750-134490+300+9900</f>
        <v>59460</v>
      </c>
      <c r="D42" s="312"/>
      <c r="E42" s="376">
        <f>1050+40500+4410</f>
        <v>45960</v>
      </c>
    </row>
    <row r="43" spans="1:7" x14ac:dyDescent="0.25">
      <c r="A43">
        <v>14</v>
      </c>
      <c r="B43" t="s">
        <v>187</v>
      </c>
      <c r="C43" s="376">
        <f>95700+6600</f>
        <v>102300</v>
      </c>
      <c r="D43" s="312"/>
      <c r="E43" s="376">
        <v>23100</v>
      </c>
    </row>
    <row r="44" spans="1:7" x14ac:dyDescent="0.25">
      <c r="A44">
        <v>14</v>
      </c>
      <c r="B44" t="s">
        <v>188</v>
      </c>
      <c r="C44" s="376">
        <f>223300+15400</f>
        <v>238700</v>
      </c>
      <c r="D44" s="312"/>
      <c r="E44" s="376">
        <v>53900</v>
      </c>
    </row>
    <row r="45" spans="1:7" x14ac:dyDescent="0.25">
      <c r="A45">
        <v>14</v>
      </c>
      <c r="B45" t="s">
        <v>189</v>
      </c>
      <c r="C45" s="376">
        <f>205000+1048425+97200+32200</f>
        <v>1382825</v>
      </c>
      <c r="D45" s="312"/>
      <c r="E45" s="376">
        <f>123200+97200+702525+40500</f>
        <v>963425</v>
      </c>
      <c r="G45" s="312"/>
    </row>
    <row r="46" spans="1:7" hidden="1" x14ac:dyDescent="0.25">
      <c r="A46">
        <v>14</v>
      </c>
      <c r="B46" t="s">
        <v>190</v>
      </c>
      <c r="C46" s="376">
        <v>0</v>
      </c>
      <c r="D46" s="312"/>
      <c r="E46" s="376">
        <v>0</v>
      </c>
    </row>
    <row r="47" spans="1:7" hidden="1" x14ac:dyDescent="0.25">
      <c r="A47">
        <v>14</v>
      </c>
      <c r="B47" t="s">
        <v>191</v>
      </c>
      <c r="C47" s="376">
        <v>0</v>
      </c>
      <c r="D47" s="312"/>
      <c r="E47" s="376">
        <v>0</v>
      </c>
    </row>
    <row r="48" spans="1:7" hidden="1" x14ac:dyDescent="0.25">
      <c r="A48">
        <v>14</v>
      </c>
      <c r="B48" t="s">
        <v>192</v>
      </c>
      <c r="C48" s="376">
        <v>0</v>
      </c>
      <c r="D48" s="312"/>
      <c r="E48" s="376">
        <v>0</v>
      </c>
    </row>
    <row r="49" spans="1:7" x14ac:dyDescent="0.25">
      <c r="A49">
        <v>14</v>
      </c>
      <c r="B49" t="s">
        <v>191</v>
      </c>
      <c r="C49" s="376">
        <v>13888</v>
      </c>
      <c r="D49" s="312"/>
      <c r="E49" s="376">
        <v>0</v>
      </c>
    </row>
    <row r="50" spans="1:7" ht="16.5" customHeight="1" x14ac:dyDescent="0.25">
      <c r="A50">
        <v>14</v>
      </c>
      <c r="B50" t="s">
        <v>193</v>
      </c>
      <c r="C50" s="376">
        <f>2692000+582579-7000-1041922-418521-852743+3000</f>
        <v>957393</v>
      </c>
      <c r="D50" s="312"/>
      <c r="E50" s="376">
        <v>151445</v>
      </c>
    </row>
    <row r="51" spans="1:7" x14ac:dyDescent="0.25">
      <c r="A51">
        <v>14</v>
      </c>
      <c r="B51" t="s">
        <v>194</v>
      </c>
      <c r="C51" s="376">
        <f>143550+9900</f>
        <v>153450</v>
      </c>
      <c r="D51" s="312"/>
      <c r="E51" s="376">
        <v>34650</v>
      </c>
    </row>
    <row r="52" spans="1:7" x14ac:dyDescent="0.25">
      <c r="A52">
        <v>14</v>
      </c>
      <c r="B52" t="s">
        <v>195</v>
      </c>
      <c r="C52" s="376">
        <f>3619375-86389+173903+113322-471414-199400-500000</f>
        <v>2649397</v>
      </c>
      <c r="D52" s="312"/>
      <c r="E52" s="376">
        <v>410343.5</v>
      </c>
    </row>
    <row r="53" spans="1:7" x14ac:dyDescent="0.25">
      <c r="A53">
        <v>14</v>
      </c>
      <c r="B53" t="s">
        <v>196</v>
      </c>
      <c r="C53" s="376">
        <v>0</v>
      </c>
      <c r="D53" s="312"/>
      <c r="E53" s="376">
        <v>0</v>
      </c>
    </row>
    <row r="54" spans="1:7" x14ac:dyDescent="0.25">
      <c r="A54">
        <v>14</v>
      </c>
      <c r="B54" t="s">
        <v>197</v>
      </c>
      <c r="C54" s="376">
        <f>1674255+7000+3920-122543-1088452</f>
        <v>474180</v>
      </c>
      <c r="D54" s="312"/>
      <c r="E54" s="376">
        <f>77850+210000+33825</f>
        <v>321675</v>
      </c>
    </row>
    <row r="55" spans="1:7" x14ac:dyDescent="0.25">
      <c r="A55">
        <v>14</v>
      </c>
      <c r="B55" t="s">
        <v>198</v>
      </c>
      <c r="C55" s="376">
        <v>29400</v>
      </c>
      <c r="D55" s="312"/>
      <c r="E55" s="376">
        <v>29400</v>
      </c>
    </row>
    <row r="56" spans="1:7" x14ac:dyDescent="0.25">
      <c r="A56">
        <v>14</v>
      </c>
      <c r="B56" t="s">
        <v>199</v>
      </c>
      <c r="C56" s="376">
        <f>281250+2402190-56092+9010-178879-74405-1285083</f>
        <v>1097991</v>
      </c>
      <c r="D56" s="312"/>
      <c r="E56" s="376">
        <f>31535+45225</f>
        <v>76760</v>
      </c>
    </row>
    <row r="57" spans="1:7" x14ac:dyDescent="0.25">
      <c r="A57">
        <v>14</v>
      </c>
      <c r="B57" t="s">
        <v>200</v>
      </c>
      <c r="C57" s="376">
        <v>900150</v>
      </c>
      <c r="D57" s="312"/>
      <c r="E57" s="376">
        <f>818835+81315</f>
        <v>900150</v>
      </c>
    </row>
    <row r="58" spans="1:7" x14ac:dyDescent="0.25">
      <c r="A58">
        <v>14</v>
      </c>
      <c r="B58" t="s">
        <v>201</v>
      </c>
      <c r="C58" s="376">
        <f>190000+148610+2392874+105000</f>
        <v>2836484</v>
      </c>
      <c r="D58" s="312"/>
      <c r="E58" s="376">
        <f>72000+192000+74610</f>
        <v>338610</v>
      </c>
    </row>
    <row r="59" spans="1:7" x14ac:dyDescent="0.25">
      <c r="A59">
        <v>14</v>
      </c>
      <c r="B59" t="s">
        <v>202</v>
      </c>
      <c r="C59" s="376">
        <f>210000+5396260+159880-474640-2500000</f>
        <v>2791500</v>
      </c>
      <c r="D59" s="312"/>
      <c r="E59" s="376">
        <f>128400+719180</f>
        <v>847580</v>
      </c>
    </row>
    <row r="60" spans="1:7" x14ac:dyDescent="0.25">
      <c r="A60">
        <v>14</v>
      </c>
      <c r="B60" t="s">
        <v>203</v>
      </c>
      <c r="C60" s="376">
        <f>1892400+199200</f>
        <v>2091600</v>
      </c>
      <c r="D60" s="312"/>
      <c r="E60" s="376">
        <v>1892400</v>
      </c>
    </row>
    <row r="61" spans="1:7" x14ac:dyDescent="0.25">
      <c r="A61">
        <v>14</v>
      </c>
      <c r="B61" t="s">
        <v>204</v>
      </c>
      <c r="C61" s="376">
        <f>8100042-6004652+20000+69360+6500</f>
        <v>2191250</v>
      </c>
      <c r="D61" s="312"/>
      <c r="E61" s="376">
        <f>1200000+915390</f>
        <v>2115390</v>
      </c>
    </row>
    <row r="62" spans="1:7" x14ac:dyDescent="0.25">
      <c r="A62">
        <v>14</v>
      </c>
      <c r="B62" t="s">
        <v>205</v>
      </c>
      <c r="C62" s="376">
        <f>11295000+145000</f>
        <v>11440000</v>
      </c>
      <c r="D62" s="312"/>
      <c r="E62" s="376">
        <f>11365000+75000</f>
        <v>11440000</v>
      </c>
    </row>
    <row r="63" spans="1:7" x14ac:dyDescent="0.25">
      <c r="A63">
        <v>14</v>
      </c>
      <c r="B63" t="s">
        <v>206</v>
      </c>
      <c r="C63" s="376">
        <f>1500000+11464893-165000+45000+2690+34620-5365-2291001</f>
        <v>10585837</v>
      </c>
      <c r="D63" s="312"/>
      <c r="E63" s="376">
        <f>8100+74585+2618399+1500000+3886395+679050</f>
        <v>8766529</v>
      </c>
    </row>
    <row r="64" spans="1:7" x14ac:dyDescent="0.25">
      <c r="C64" s="379">
        <f>SUM(C30:C63)</f>
        <v>46689340</v>
      </c>
      <c r="D64" s="312"/>
      <c r="E64" s="379">
        <f>SUM(E30:E63)</f>
        <v>31137826.5</v>
      </c>
      <c r="G64" s="312"/>
    </row>
    <row r="65" spans="1:5" x14ac:dyDescent="0.25">
      <c r="C65" s="379"/>
      <c r="D65" s="312"/>
      <c r="E65" s="376"/>
    </row>
    <row r="66" spans="1:5" x14ac:dyDescent="0.25">
      <c r="B66" s="316" t="s">
        <v>37</v>
      </c>
      <c r="C66" s="392" t="s">
        <v>174</v>
      </c>
      <c r="D66" s="312"/>
      <c r="E66" s="376"/>
    </row>
    <row r="67" spans="1:5" x14ac:dyDescent="0.25">
      <c r="A67" s="372" t="s">
        <v>175</v>
      </c>
      <c r="B67" t="s">
        <v>207</v>
      </c>
      <c r="C67" s="376">
        <f>30000+42000</f>
        <v>72000</v>
      </c>
      <c r="D67" s="312"/>
      <c r="E67" s="376">
        <f>13950+13950+27900+6975</f>
        <v>62775</v>
      </c>
    </row>
    <row r="68" spans="1:5" x14ac:dyDescent="0.25">
      <c r="A68" s="372" t="s">
        <v>175</v>
      </c>
      <c r="B68" t="s">
        <v>180</v>
      </c>
      <c r="C68" s="376">
        <f>1513463-162640-426482</f>
        <v>924341</v>
      </c>
      <c r="D68" s="312"/>
      <c r="E68" s="376">
        <v>0</v>
      </c>
    </row>
    <row r="69" spans="1:5" x14ac:dyDescent="0.25">
      <c r="A69" s="372" t="s">
        <v>175</v>
      </c>
      <c r="B69" t="s">
        <v>181</v>
      </c>
      <c r="C69" s="376">
        <f>174720+162640</f>
        <v>337360</v>
      </c>
      <c r="D69" s="312"/>
      <c r="E69" s="376">
        <f>17472+69888</f>
        <v>87360</v>
      </c>
    </row>
    <row r="70" spans="1:5" x14ac:dyDescent="0.25">
      <c r="A70" s="372" t="s">
        <v>175</v>
      </c>
      <c r="B70" t="s">
        <v>195</v>
      </c>
      <c r="C70" s="376">
        <v>157990</v>
      </c>
      <c r="D70" s="312"/>
      <c r="E70" s="376"/>
    </row>
    <row r="71" spans="1:5" x14ac:dyDescent="0.25">
      <c r="A71" s="372" t="s">
        <v>175</v>
      </c>
      <c r="B71" t="s">
        <v>197</v>
      </c>
      <c r="C71" s="376">
        <v>153300</v>
      </c>
      <c r="D71" s="312"/>
      <c r="E71" s="376"/>
    </row>
    <row r="72" spans="1:5" x14ac:dyDescent="0.25">
      <c r="A72" s="372" t="s">
        <v>175</v>
      </c>
      <c r="B72" t="s">
        <v>199</v>
      </c>
      <c r="C72" s="376">
        <v>115192</v>
      </c>
      <c r="D72" s="312"/>
      <c r="E72" s="376"/>
    </row>
    <row r="73" spans="1:5" x14ac:dyDescent="0.25">
      <c r="A73" s="372" t="s">
        <v>175</v>
      </c>
      <c r="B73" t="s">
        <v>201</v>
      </c>
      <c r="C73" s="376">
        <f>959406+1253791</f>
        <v>2213197</v>
      </c>
      <c r="D73" s="312"/>
      <c r="E73" s="376">
        <v>0</v>
      </c>
    </row>
    <row r="74" spans="1:5" x14ac:dyDescent="0.25">
      <c r="A74" s="372" t="s">
        <v>175</v>
      </c>
      <c r="B74" t="s">
        <v>204</v>
      </c>
      <c r="C74" s="376">
        <f>32865+514143</f>
        <v>547008</v>
      </c>
      <c r="D74" s="312"/>
      <c r="E74" s="376">
        <v>0</v>
      </c>
    </row>
    <row r="75" spans="1:5" x14ac:dyDescent="0.25">
      <c r="A75" s="372" t="s">
        <v>175</v>
      </c>
      <c r="B75" t="s">
        <v>205</v>
      </c>
      <c r="C75" s="376">
        <f>1219750+4590510</f>
        <v>5810260</v>
      </c>
      <c r="D75" s="312"/>
      <c r="E75" s="376">
        <v>0</v>
      </c>
    </row>
    <row r="76" spans="1:5" x14ac:dyDescent="0.25">
      <c r="A76" s="372" t="s">
        <v>175</v>
      </c>
      <c r="B76" t="s">
        <v>206</v>
      </c>
      <c r="C76" s="376">
        <f>141960+276640</f>
        <v>418600</v>
      </c>
      <c r="D76" s="312"/>
      <c r="E76" s="376">
        <v>0</v>
      </c>
    </row>
    <row r="77" spans="1:5" x14ac:dyDescent="0.25">
      <c r="C77" s="379">
        <f>SUM(C67:C76)</f>
        <v>10749248</v>
      </c>
      <c r="D77" s="312"/>
      <c r="E77" s="379">
        <f>SUM(E67:E76)</f>
        <v>150135</v>
      </c>
    </row>
    <row r="78" spans="1:5" x14ac:dyDescent="0.25">
      <c r="C78" s="379"/>
      <c r="D78" s="312"/>
      <c r="E78" s="379"/>
    </row>
    <row r="79" spans="1:5" x14ac:dyDescent="0.25">
      <c r="B79" s="314" t="s">
        <v>208</v>
      </c>
      <c r="C79" s="379"/>
      <c r="D79" s="312"/>
      <c r="E79" s="379"/>
    </row>
    <row r="80" spans="1:5" x14ac:dyDescent="0.25">
      <c r="A80" s="372" t="s">
        <v>175</v>
      </c>
      <c r="B80" t="s">
        <v>209</v>
      </c>
      <c r="C80" s="379">
        <v>0</v>
      </c>
      <c r="D80" s="313"/>
      <c r="E80" s="449">
        <v>0</v>
      </c>
    </row>
    <row r="81" spans="1:7" x14ac:dyDescent="0.25">
      <c r="A81" s="372" t="s">
        <v>175</v>
      </c>
      <c r="B81" t="s">
        <v>210</v>
      </c>
      <c r="C81" s="379">
        <f>150000-42000</f>
        <v>108000</v>
      </c>
      <c r="D81" s="313"/>
      <c r="E81" s="449">
        <v>0</v>
      </c>
    </row>
    <row r="82" spans="1:7" x14ac:dyDescent="0.25">
      <c r="A82" s="372" t="s">
        <v>175</v>
      </c>
      <c r="B82" t="s">
        <v>211</v>
      </c>
      <c r="C82" s="379">
        <v>0</v>
      </c>
      <c r="D82" s="313"/>
      <c r="E82" s="449">
        <v>0</v>
      </c>
    </row>
    <row r="83" spans="1:7" x14ac:dyDescent="0.25">
      <c r="A83" s="372" t="s">
        <v>175</v>
      </c>
      <c r="B83" s="316" t="s">
        <v>212</v>
      </c>
      <c r="C83" s="379">
        <f>1895606+800000</f>
        <v>2695606</v>
      </c>
      <c r="D83" s="312"/>
      <c r="E83" s="379">
        <f>34298.38+334613.83+1486556.12+209887.97</f>
        <v>2065356.3</v>
      </c>
    </row>
    <row r="84" spans="1:7" x14ac:dyDescent="0.25">
      <c r="C84" s="376">
        <v>0</v>
      </c>
      <c r="D84" s="312"/>
      <c r="E84" s="376" t="s">
        <v>218</v>
      </c>
    </row>
    <row r="85" spans="1:7" ht="15.75" thickBot="1" x14ac:dyDescent="0.3">
      <c r="B85" s="314" t="s">
        <v>112</v>
      </c>
      <c r="C85" s="394">
        <f>SUM(C6+C11+C64+C77+C83+C80+C29+C81+C82)</f>
        <v>60242194</v>
      </c>
      <c r="D85" s="380"/>
      <c r="E85" s="394">
        <f>E83+E77+E64+E11+E6+E80+E29</f>
        <v>33353317.800000001</v>
      </c>
      <c r="G85" s="312"/>
    </row>
    <row r="86" spans="1:7" ht="15.75" thickTop="1" x14ac:dyDescent="0.25">
      <c r="C86" s="313"/>
    </row>
    <row r="87" spans="1:7" x14ac:dyDescent="0.25">
      <c r="C87" s="312"/>
      <c r="E87" s="312">
        <v>33353317.800000001</v>
      </c>
      <c r="F87" s="312"/>
    </row>
    <row r="88" spans="1:7" x14ac:dyDescent="0.25">
      <c r="C88" s="312"/>
      <c r="E88" s="312">
        <f>+E87-E85</f>
        <v>0</v>
      </c>
    </row>
    <row r="89" spans="1:7" x14ac:dyDescent="0.25">
      <c r="C89" s="312"/>
    </row>
    <row r="90" spans="1:7" x14ac:dyDescent="0.25">
      <c r="C90" s="312"/>
    </row>
  </sheetData>
  <mergeCells count="1">
    <mergeCell ref="A1:E1"/>
  </mergeCells>
  <phoneticPr fontId="35" type="noConversion"/>
  <pageMargins left="0.70866141732283472" right="0.70866141732283472" top="0.74803149606299213" bottom="0.74803149606299213" header="0.31496062992125984" footer="0.31496062992125984"/>
  <pageSetup scale="71" orientation="portrait" r:id="rId1"/>
  <ignoredErrors>
    <ignoredError sqref="A9:A11 A14:A28 A82:A83 A67 A69 A68 A73:A81 A70:A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IAFF (1)</vt:lpstr>
      <vt:lpstr>IAFF (2)</vt:lpstr>
      <vt:lpstr>IAFF (3)</vt:lpstr>
      <vt:lpstr>Hoja1</vt:lpstr>
      <vt:lpstr>Hoja1!Área_de_impresión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2025-11-05T16:07:03Z</cp:lastPrinted>
  <dcterms:created xsi:type="dcterms:W3CDTF">2014-02-17T15:43:28Z</dcterms:created>
  <dcterms:modified xsi:type="dcterms:W3CDTF">2025-11-05T16:07:12Z</dcterms:modified>
  <cp:category/>
  <cp:contentStatus/>
</cp:coreProperties>
</file>