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epar\Desktop\DIPLAN\CARPETA 2024\IAFF 2024\DICIEMBRE\"/>
    </mc:Choice>
  </mc:AlternateContent>
  <xr:revisionPtr revIDLastSave="0" documentId="13_ncr:1_{D977D07D-C4D7-4D83-9B9E-18C5D6ADDE35}" xr6:coauthVersionLast="47" xr6:coauthVersionMax="47" xr10:uidLastSave="{00000000-0000-0000-0000-000000000000}"/>
  <bookViews>
    <workbookView xWindow="-120" yWindow="-120" windowWidth="29040" windowHeight="15720" xr2:uid="{00000000-000D-0000-FFFF-FFFF00000000}"/>
  </bookViews>
  <sheets>
    <sheet name="IAFF (1)" sheetId="1" r:id="rId1"/>
    <sheet name="IAFF (2)" sheetId="10" r:id="rId2"/>
    <sheet name="IAFF (3)" sheetId="8" r:id="rId3"/>
    <sheet name="Hoja1" sheetId="11" r:id="rId4"/>
  </sheets>
  <externalReferences>
    <externalReference r:id="rId5"/>
    <externalReference r:id="rId6"/>
  </externalReferences>
  <definedNames>
    <definedName name="_xlnm.Print_Area" localSheetId="3">Hoja1!$A$1:$D$88</definedName>
    <definedName name="_xlnm.Print_Area" localSheetId="0">'IAFF (1)'!$A$1:$P$72</definedName>
    <definedName name="_xlnm.Print_Area" localSheetId="1">'IAFF (2)'!$A$1:$V$163</definedName>
    <definedName name="_xlnm.Print_Area" localSheetId="2">'IAFF (3)'!$A$1:$R$34</definedName>
    <definedName name="_xlnm.Print_Titles" localSheetId="0">'IAFF (1)'!$34:$40</definedName>
    <definedName name="_xlnm.Print_Titles" localSheetId="1">'IAFF (2)'!$1:$14</definedName>
    <definedName name="_xlnm.Print_Titles" localSheetId="2">'IAFF (3)'!#REF!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1" i="1" l="1"/>
  <c r="L31" i="1"/>
  <c r="D72" i="11" l="1"/>
  <c r="D73" i="11"/>
  <c r="D90" i="11"/>
  <c r="C90" i="11"/>
  <c r="C88" i="11"/>
  <c r="F71" i="11"/>
  <c r="G72" i="11"/>
  <c r="C54" i="11" l="1"/>
  <c r="G71" i="11"/>
  <c r="C23" i="11"/>
  <c r="D18" i="11"/>
  <c r="C85" i="11" l="1"/>
  <c r="F65" i="11"/>
  <c r="C5" i="11"/>
  <c r="C4" i="11"/>
  <c r="C14" i="11"/>
  <c r="C80" i="11"/>
  <c r="C79" i="11"/>
  <c r="C78" i="11"/>
  <c r="C76" i="11"/>
  <c r="C7" i="11"/>
  <c r="C72" i="11"/>
  <c r="D23" i="11"/>
  <c r="C19" i="11"/>
  <c r="C70" i="11"/>
  <c r="C69" i="11"/>
  <c r="C68" i="11"/>
  <c r="C6" i="11"/>
  <c r="C65" i="11"/>
  <c r="C84" i="11" l="1"/>
  <c r="A65" i="1"/>
  <c r="D7" i="11" l="1"/>
  <c r="D68" i="11"/>
  <c r="D65" i="11"/>
  <c r="D6" i="11"/>
  <c r="K29" i="1"/>
  <c r="L29" i="1"/>
  <c r="K32" i="1"/>
  <c r="J33" i="1"/>
  <c r="C60" i="11"/>
  <c r="C49" i="11"/>
  <c r="C47" i="11"/>
  <c r="C18" i="11"/>
  <c r="L25" i="8"/>
  <c r="X69" i="1"/>
  <c r="M29" i="1" l="1"/>
  <c r="I69" i="1"/>
  <c r="H22" i="1"/>
  <c r="L42" i="1" s="1"/>
  <c r="K42" i="1"/>
  <c r="D84" i="11" l="1"/>
  <c r="D62" i="11"/>
  <c r="M31" i="1"/>
  <c r="D14" i="11"/>
  <c r="R48" i="10"/>
  <c r="R66" i="10"/>
  <c r="L40" i="1" l="1"/>
  <c r="K51" i="1"/>
  <c r="I50" i="1"/>
  <c r="H33" i="1" l="1"/>
  <c r="G33" i="1"/>
  <c r="F33" i="1"/>
  <c r="I29" i="1"/>
  <c r="I28" i="1"/>
  <c r="S42" i="1"/>
  <c r="K134" i="10"/>
  <c r="M147" i="10"/>
  <c r="M143" i="10"/>
  <c r="M138" i="10"/>
  <c r="N135" i="10"/>
  <c r="M139" i="10"/>
  <c r="M32" i="1"/>
  <c r="M26" i="1"/>
  <c r="L23" i="1"/>
  <c r="D71" i="11"/>
  <c r="K23" i="1"/>
  <c r="M135" i="10"/>
  <c r="M137" i="10" l="1"/>
  <c r="M23" i="1"/>
  <c r="I33" i="1"/>
  <c r="H61" i="1" s="1"/>
  <c r="N137" i="10"/>
  <c r="D5" i="11"/>
  <c r="D4" i="11"/>
  <c r="F6" i="11"/>
  <c r="K27" i="1"/>
  <c r="G49" i="1"/>
  <c r="M142" i="10" l="1"/>
  <c r="K115" i="10"/>
  <c r="N146" i="10" l="1"/>
  <c r="L43" i="1"/>
  <c r="D8" i="11" l="1"/>
  <c r="D88" i="11" s="1"/>
  <c r="N134" i="10" l="1"/>
  <c r="L19" i="1" s="1"/>
  <c r="C82" i="11"/>
  <c r="C81" i="11"/>
  <c r="C8" i="11"/>
  <c r="K19" i="1" l="1"/>
  <c r="M134" i="10" s="1"/>
  <c r="M146" i="10"/>
  <c r="L49" i="1"/>
  <c r="K49" i="1"/>
  <c r="L143" i="10"/>
  <c r="M19" i="1" l="1"/>
  <c r="I22" i="1"/>
  <c r="I21" i="1"/>
  <c r="D44" i="11"/>
  <c r="N143" i="10" s="1"/>
  <c r="C44" i="11"/>
  <c r="K22" i="1"/>
  <c r="M136" i="10" l="1"/>
  <c r="K33" i="1"/>
  <c r="O143" i="10"/>
  <c r="L28" i="1"/>
  <c r="M28" i="1" s="1"/>
  <c r="K144" i="10"/>
  <c r="K142" i="10"/>
  <c r="K138" i="10"/>
  <c r="K137" i="10"/>
  <c r="K136" i="10"/>
  <c r="K135" i="10"/>
  <c r="P135" i="10" s="1"/>
  <c r="P134" i="10"/>
  <c r="J147" i="10"/>
  <c r="J146" i="10"/>
  <c r="F144" i="10"/>
  <c r="J144" i="10" s="1"/>
  <c r="F142" i="10"/>
  <c r="J142" i="10" s="1"/>
  <c r="F138" i="10"/>
  <c r="F137" i="10"/>
  <c r="J137" i="10" s="1"/>
  <c r="F136" i="10"/>
  <c r="K126" i="10" l="1"/>
  <c r="K125" i="10"/>
  <c r="J125" i="10"/>
  <c r="K123" i="10"/>
  <c r="J123" i="10"/>
  <c r="K122" i="10"/>
  <c r="J122" i="10"/>
  <c r="K121" i="10"/>
  <c r="J121" i="10"/>
  <c r="K120" i="10"/>
  <c r="P120" i="10" s="1"/>
  <c r="J120" i="10"/>
  <c r="K118" i="10"/>
  <c r="J118" i="10"/>
  <c r="K117" i="10"/>
  <c r="L117" i="10" s="1"/>
  <c r="K116" i="10"/>
  <c r="G42" i="1" s="1"/>
  <c r="J116" i="10"/>
  <c r="J115" i="10"/>
  <c r="K114" i="10"/>
  <c r="J114" i="10"/>
  <c r="N126" i="10"/>
  <c r="M126" i="10"/>
  <c r="N125" i="10"/>
  <c r="M125" i="10"/>
  <c r="N123" i="10"/>
  <c r="M123" i="10"/>
  <c r="N122" i="10"/>
  <c r="M122" i="10"/>
  <c r="N121" i="10"/>
  <c r="M121" i="10"/>
  <c r="N120" i="10"/>
  <c r="R120" i="10" s="1"/>
  <c r="M120" i="10"/>
  <c r="N118" i="10"/>
  <c r="M118" i="10"/>
  <c r="N117" i="10"/>
  <c r="M117" i="10"/>
  <c r="N116" i="10"/>
  <c r="M116" i="10"/>
  <c r="N115" i="10"/>
  <c r="M115" i="10"/>
  <c r="N114" i="10"/>
  <c r="M114" i="10"/>
  <c r="N147" i="10"/>
  <c r="N136" i="10"/>
  <c r="Q120" i="10" l="1"/>
  <c r="L123" i="10"/>
  <c r="L118" i="10"/>
  <c r="O147" i="10"/>
  <c r="L114" i="10"/>
  <c r="O120" i="10"/>
  <c r="S120" i="10" s="1"/>
  <c r="L120" i="10"/>
  <c r="O122" i="10"/>
  <c r="O116" i="10"/>
  <c r="O123" i="10"/>
  <c r="L116" i="10"/>
  <c r="O114" i="10"/>
  <c r="L115" i="10"/>
  <c r="O121" i="10"/>
  <c r="L121" i="10"/>
  <c r="O115" i="10"/>
  <c r="O117" i="10"/>
  <c r="O125" i="10"/>
  <c r="O118" i="10"/>
  <c r="D54" i="11"/>
  <c r="O137" i="10"/>
  <c r="R135" i="10"/>
  <c r="L22" i="1"/>
  <c r="M22" i="1" s="1"/>
  <c r="G148" i="10"/>
  <c r="R147" i="10"/>
  <c r="K147" i="10"/>
  <c r="P147" i="10" s="1"/>
  <c r="R146" i="10"/>
  <c r="S146" i="10" s="1"/>
  <c r="K146" i="10"/>
  <c r="P146" i="10" s="1"/>
  <c r="P144" i="10"/>
  <c r="P143" i="10"/>
  <c r="P142" i="10"/>
  <c r="K140" i="10"/>
  <c r="P138" i="10"/>
  <c r="L137" i="10"/>
  <c r="G127" i="10"/>
  <c r="F127" i="10"/>
  <c r="R126" i="10"/>
  <c r="P126" i="10"/>
  <c r="P125" i="10"/>
  <c r="P122" i="10"/>
  <c r="R121" i="10"/>
  <c r="R117" i="10"/>
  <c r="P117" i="10"/>
  <c r="Q117" i="10" s="1"/>
  <c r="P116" i="10"/>
  <c r="P115" i="10"/>
  <c r="R116" i="10" l="1"/>
  <c r="R118" i="10"/>
  <c r="P137" i="10"/>
  <c r="Q115" i="10"/>
  <c r="L136" i="10"/>
  <c r="Q116" i="10"/>
  <c r="R137" i="10"/>
  <c r="S137" i="10" s="1"/>
  <c r="R122" i="10"/>
  <c r="S122" i="10" s="1"/>
  <c r="Q136" i="10"/>
  <c r="J127" i="10"/>
  <c r="O136" i="10"/>
  <c r="P121" i="10"/>
  <c r="Q121" i="10" s="1"/>
  <c r="O146" i="10"/>
  <c r="R136" i="10"/>
  <c r="S136" i="10" s="1"/>
  <c r="K148" i="10"/>
  <c r="K127" i="10"/>
  <c r="P114" i="10"/>
  <c r="P118" i="10"/>
  <c r="Q118" i="10" s="1"/>
  <c r="P123" i="10"/>
  <c r="Q123" i="10" s="1"/>
  <c r="Q137" i="10" l="1"/>
  <c r="P148" i="10"/>
  <c r="R138" i="10"/>
  <c r="L127" i="10"/>
  <c r="P127" i="10"/>
  <c r="Q127" i="10" s="1"/>
  <c r="Q114" i="10"/>
  <c r="K52" i="1" l="1"/>
  <c r="I52" i="1"/>
  <c r="I51" i="1"/>
  <c r="G43" i="1"/>
  <c r="K43" i="1" s="1"/>
  <c r="I43" i="1" l="1"/>
  <c r="R125" i="10" l="1"/>
  <c r="L48" i="1"/>
  <c r="L50" i="1"/>
  <c r="L51" i="1"/>
  <c r="L47" i="1"/>
  <c r="L41" i="1"/>
  <c r="S125" i="10" l="1"/>
  <c r="F19" i="1"/>
  <c r="F20" i="1"/>
  <c r="F135" i="10" l="1"/>
  <c r="J135" i="10" s="1"/>
  <c r="K26" i="1"/>
  <c r="F134" i="10" l="1"/>
  <c r="S117" i="10"/>
  <c r="S116" i="10"/>
  <c r="S121" i="10"/>
  <c r="L20" i="1"/>
  <c r="L33" i="1" s="1"/>
  <c r="M33" i="1" s="1"/>
  <c r="D65" i="1" s="1"/>
  <c r="H63" i="1" s="1"/>
  <c r="R115" i="10" l="1"/>
  <c r="S115" i="10" s="1"/>
  <c r="Q134" i="10"/>
  <c r="F148" i="10"/>
  <c r="R123" i="10"/>
  <c r="D157" i="10"/>
  <c r="B157" i="10"/>
  <c r="L134" i="10" l="1"/>
  <c r="R114" i="10" l="1"/>
  <c r="R127" i="10" s="1"/>
  <c r="N127" i="10"/>
  <c r="F157" i="10" s="1"/>
  <c r="S114" i="10" l="1"/>
  <c r="T70" i="1"/>
  <c r="P47" i="10"/>
  <c r="D16" i="11" l="1"/>
  <c r="D35" i="11"/>
  <c r="N144" i="10"/>
  <c r="N141" i="10" l="1"/>
  <c r="N142" i="10"/>
  <c r="R144" i="10"/>
  <c r="R143" i="10"/>
  <c r="R142" i="10" l="1"/>
  <c r="S143" i="10"/>
  <c r="L53" i="1" l="1"/>
  <c r="AF31" i="1" l="1"/>
  <c r="AD32" i="1"/>
  <c r="C62" i="11" l="1"/>
  <c r="C35" i="11"/>
  <c r="J148" i="10" l="1"/>
  <c r="Q144" i="10"/>
  <c r="L144" i="10"/>
  <c r="S118" i="10"/>
  <c r="M127" i="10"/>
  <c r="S123" i="10"/>
  <c r="M144" i="10" l="1"/>
  <c r="M148" i="10" s="1"/>
  <c r="O144" i="10"/>
  <c r="S144" i="10"/>
  <c r="S142" i="10"/>
  <c r="L148" i="10"/>
  <c r="B158" i="10" s="1"/>
  <c r="Q148" i="10"/>
  <c r="D158" i="10" s="1"/>
  <c r="O127" i="10"/>
  <c r="C157" i="10" s="1"/>
  <c r="S127" i="10"/>
  <c r="I19" i="1" l="1"/>
  <c r="C152" i="10" l="1"/>
  <c r="B152" i="10"/>
  <c r="G86" i="10"/>
  <c r="N84" i="10"/>
  <c r="M84" i="10"/>
  <c r="N83" i="10"/>
  <c r="R83" i="10" s="1"/>
  <c r="M83" i="10"/>
  <c r="N81" i="10"/>
  <c r="R81" i="10" s="1"/>
  <c r="M81" i="10"/>
  <c r="K81" i="10"/>
  <c r="G48" i="1" s="1"/>
  <c r="K48" i="1" s="1"/>
  <c r="K53" i="1" s="1"/>
  <c r="J81" i="10"/>
  <c r="N80" i="10"/>
  <c r="M80" i="10"/>
  <c r="K80" i="10"/>
  <c r="P80" i="10" s="1"/>
  <c r="J80" i="10"/>
  <c r="N79" i="10"/>
  <c r="R79" i="10" s="1"/>
  <c r="M79" i="10"/>
  <c r="K79" i="10"/>
  <c r="P79" i="10" s="1"/>
  <c r="J79" i="10"/>
  <c r="N77" i="10"/>
  <c r="R77" i="10" s="1"/>
  <c r="M77" i="10"/>
  <c r="K77" i="10"/>
  <c r="P77" i="10" s="1"/>
  <c r="J77" i="10"/>
  <c r="N76" i="10"/>
  <c r="M76" i="10"/>
  <c r="K76" i="10"/>
  <c r="G40" i="1" s="1"/>
  <c r="G53" i="1" s="1"/>
  <c r="J76" i="10"/>
  <c r="Q75" i="10"/>
  <c r="P75" i="10"/>
  <c r="N75" i="10"/>
  <c r="M75" i="10"/>
  <c r="J75" i="10"/>
  <c r="Q74" i="10"/>
  <c r="N74" i="10"/>
  <c r="R74" i="10" s="1"/>
  <c r="M74" i="10"/>
  <c r="K74" i="10"/>
  <c r="P74" i="10" s="1"/>
  <c r="J74" i="10"/>
  <c r="N73" i="10"/>
  <c r="R73" i="10" s="1"/>
  <c r="M73" i="10"/>
  <c r="K73" i="10"/>
  <c r="J73" i="10"/>
  <c r="N72" i="10"/>
  <c r="M72" i="10"/>
  <c r="K72" i="10"/>
  <c r="G41" i="1" s="1"/>
  <c r="J72" i="10"/>
  <c r="P66" i="10"/>
  <c r="Q66" i="10" s="1"/>
  <c r="D154" i="10" s="1"/>
  <c r="N66" i="10"/>
  <c r="F154" i="10" s="1"/>
  <c r="M66" i="10"/>
  <c r="K66" i="10"/>
  <c r="J66" i="10"/>
  <c r="G66" i="10"/>
  <c r="R64" i="10"/>
  <c r="O64" i="10"/>
  <c r="S64" i="10" s="1"/>
  <c r="R62" i="10"/>
  <c r="O62" i="10"/>
  <c r="S62" i="10" s="1"/>
  <c r="Q61" i="10"/>
  <c r="O61" i="10"/>
  <c r="S61" i="10" s="1"/>
  <c r="L61" i="10"/>
  <c r="R59" i="10"/>
  <c r="Q59" i="10"/>
  <c r="O59" i="10"/>
  <c r="S59" i="10" s="1"/>
  <c r="L59" i="10"/>
  <c r="R58" i="10"/>
  <c r="Q58" i="10"/>
  <c r="O58" i="10"/>
  <c r="S58" i="10" s="1"/>
  <c r="L58" i="10"/>
  <c r="R57" i="10"/>
  <c r="Q57" i="10"/>
  <c r="O57" i="10"/>
  <c r="S57" i="10" s="1"/>
  <c r="L57" i="10"/>
  <c r="R56" i="10"/>
  <c r="Q56" i="10"/>
  <c r="O56" i="10"/>
  <c r="S56" i="10" s="1"/>
  <c r="L56" i="10"/>
  <c r="R55" i="10"/>
  <c r="Q55" i="10"/>
  <c r="O55" i="10"/>
  <c r="S55" i="10" s="1"/>
  <c r="L55" i="10"/>
  <c r="R54" i="10"/>
  <c r="Q54" i="10"/>
  <c r="O54" i="10"/>
  <c r="S54" i="10" s="1"/>
  <c r="L54" i="10"/>
  <c r="N48" i="10"/>
  <c r="F153" i="10" s="1"/>
  <c r="M48" i="10"/>
  <c r="K47" i="10"/>
  <c r="J47" i="10"/>
  <c r="Q47" i="10" s="1"/>
  <c r="S47" i="10" s="1"/>
  <c r="R46" i="10"/>
  <c r="O46" i="10"/>
  <c r="Q46" i="10" s="1"/>
  <c r="S46" i="10" s="1"/>
  <c r="R44" i="10"/>
  <c r="O44" i="10"/>
  <c r="Q44" i="10" s="1"/>
  <c r="S44" i="10" s="1"/>
  <c r="L44" i="10"/>
  <c r="R43" i="10"/>
  <c r="O43" i="10"/>
  <c r="Q43" i="10" s="1"/>
  <c r="S43" i="10" s="1"/>
  <c r="L43" i="10"/>
  <c r="R42" i="10"/>
  <c r="O42" i="10"/>
  <c r="Q42" i="10" s="1"/>
  <c r="S42" i="10" s="1"/>
  <c r="L42" i="10"/>
  <c r="R41" i="10"/>
  <c r="O41" i="10"/>
  <c r="Q41" i="10" s="1"/>
  <c r="S41" i="10" s="1"/>
  <c r="L41" i="10"/>
  <c r="R40" i="10"/>
  <c r="O40" i="10"/>
  <c r="Q40" i="10" s="1"/>
  <c r="S40" i="10" s="1"/>
  <c r="L40" i="10"/>
  <c r="Q38" i="10"/>
  <c r="Q37" i="10"/>
  <c r="G30" i="10"/>
  <c r="I53" i="1" l="1"/>
  <c r="P76" i="10"/>
  <c r="L47" i="10"/>
  <c r="B153" i="10" s="1"/>
  <c r="O48" i="10"/>
  <c r="C153" i="10" s="1"/>
  <c r="L72" i="10"/>
  <c r="Q72" i="10" s="1"/>
  <c r="L77" i="10"/>
  <c r="Q77" i="10" s="1"/>
  <c r="L73" i="10"/>
  <c r="Q73" i="10" s="1"/>
  <c r="O77" i="10"/>
  <c r="S77" i="10" s="1"/>
  <c r="O79" i="10"/>
  <c r="O76" i="10"/>
  <c r="S76" i="10" s="1"/>
  <c r="O84" i="10"/>
  <c r="D153" i="10" s="1"/>
  <c r="O80" i="10"/>
  <c r="R84" i="10"/>
  <c r="R80" i="10"/>
  <c r="O81" i="10"/>
  <c r="L66" i="10"/>
  <c r="B154" i="10" s="1"/>
  <c r="O73" i="10"/>
  <c r="S73" i="10" s="1"/>
  <c r="P73" i="10"/>
  <c r="L81" i="10"/>
  <c r="Q81" i="10" s="1"/>
  <c r="J86" i="10"/>
  <c r="J172" i="10" s="1"/>
  <c r="K86" i="10"/>
  <c r="R76" i="10"/>
  <c r="P81" i="10"/>
  <c r="M86" i="10"/>
  <c r="N86" i="10"/>
  <c r="L80" i="10"/>
  <c r="Q80" i="10" s="1"/>
  <c r="O83" i="10"/>
  <c r="S83" i="10" s="1"/>
  <c r="P72" i="10"/>
  <c r="L79" i="10"/>
  <c r="Q79" i="10" s="1"/>
  <c r="O72" i="10"/>
  <c r="S72" i="10" s="1"/>
  <c r="O66" i="10"/>
  <c r="C154" i="10" s="1"/>
  <c r="R72" i="10"/>
  <c r="L76" i="10"/>
  <c r="Q76" i="10" s="1"/>
  <c r="K172" i="10" l="1"/>
  <c r="L172" i="10" s="1"/>
  <c r="S84" i="10"/>
  <c r="R86" i="10"/>
  <c r="S86" i="10" s="1"/>
  <c r="O86" i="10"/>
  <c r="C155" i="10" s="1"/>
  <c r="F155" i="10"/>
  <c r="F156" i="10"/>
  <c r="D156" i="10"/>
  <c r="L86" i="10"/>
  <c r="B155" i="10" s="1"/>
  <c r="P86" i="10"/>
  <c r="Q86" i="10" s="1"/>
  <c r="D155" i="10" s="1"/>
  <c r="B156" i="10"/>
  <c r="Z19" i="1" l="1"/>
  <c r="C156" i="10" l="1"/>
  <c r="N148" i="10"/>
  <c r="O148" i="10" s="1"/>
  <c r="R134" i="10"/>
  <c r="S134" i="10" s="1"/>
  <c r="O134" i="10"/>
  <c r="C158" i="10" l="1"/>
  <c r="F158" i="10"/>
  <c r="F159" i="10" s="1"/>
  <c r="R148" i="10"/>
  <c r="S148" i="10" s="1"/>
  <c r="D69" i="1" l="1"/>
  <c r="G69" i="1" s="1"/>
  <c r="A6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David Estuardo Lee Pinto</author>
  </authors>
  <commentList>
    <comment ref="J26" authorId="0" shapeId="0" xr:uid="{00000000-0006-0000-0000-000002000000}">
      <text>
        <r>
          <rPr>
            <b/>
            <sz val="9"/>
            <color indexed="81"/>
            <rFont val="Tahoma"/>
            <family val="2"/>
          </rPr>
          <t>David Estuardo Lee Pinto:</t>
        </r>
        <r>
          <rPr>
            <sz val="9"/>
            <color indexed="81"/>
            <rFont val="Tahoma"/>
            <family val="2"/>
          </rPr>
          <t xml:space="preserve">
Renglones 158,185,297, 299, 324, 328, 329
</t>
        </r>
      </text>
    </comment>
  </commentList>
</comments>
</file>

<file path=xl/sharedStrings.xml><?xml version="1.0" encoding="utf-8"?>
<sst xmlns="http://schemas.openxmlformats.org/spreadsheetml/2006/main" count="741" uniqueCount="221">
  <si>
    <t>Informe de Avance Físico, Financiero y Desempeño de Préstamos</t>
  </si>
  <si>
    <t>Ejercicio:</t>
  </si>
  <si>
    <t>Unidad Ejecutora:</t>
  </si>
  <si>
    <t>Entidad:</t>
  </si>
  <si>
    <t>Préstamo:</t>
  </si>
  <si>
    <t>Recuento comparativo</t>
  </si>
  <si>
    <t xml:space="preserve">EJECUCION FISICA </t>
  </si>
  <si>
    <t>EJECUCION FINANCIERA</t>
  </si>
  <si>
    <t>Artículo 53 de la Ley Orgánica del Presupuesto Dto. 101-97 y sus reformas (Dto. 13-2013) Los titulares de las Entidades de la Administración Central, Descentralizadas, Autónomas y Empresas Públicas, encargadas de la ejecución de los programas o proyectos que se financian con recursos provenientes de convenios de cooperación externa reembolsable y no reembolsable (préstamos y donaciones), en los cuales la República de Guatemala figura como deudora, garante o beneficiaria, deberán remitir informes sobre el avance de la ejecución física y financiera. Para préstamos en forma mensual, durante los primeros diez (10) días hábiles de cada mes a la Dirección de Crédito Público del Ministerio de Finanzas Públicas y a la Secretaría de Planificación y Programación de la Presidencia.
Artículo 55 del Reglamento  de la Ley Orgánica del Presupuesto (Acdo. Gub. 540-2013) Informes de Avance Físico y Financiero.
Se incorpora un segmento de indicadores alineado con lo establecido en los artículos 4, 6, 17 y 32 de la Ley Orgánica del Presupuesto Dto. 101-97.</t>
  </si>
  <si>
    <t>Inicial</t>
  </si>
  <si>
    <t>Vigente</t>
  </si>
  <si>
    <t>Ejecutado</t>
  </si>
  <si>
    <t>% Ejecución</t>
  </si>
  <si>
    <t>Código Presupuesto:</t>
  </si>
  <si>
    <t>Variación % Física</t>
  </si>
  <si>
    <t>Variación % Fínanciera</t>
  </si>
  <si>
    <t>Firma Elaborado Por</t>
  </si>
  <si>
    <t>Firma Aprobado Por</t>
  </si>
  <si>
    <t>* Indicar cualquier variación a la meta en el año.</t>
  </si>
  <si>
    <t>Avance del mes</t>
  </si>
  <si>
    <t>Mes a Reportar:</t>
  </si>
  <si>
    <t>II. 2
Descripción Meta</t>
  </si>
  <si>
    <t xml:space="preserve"> I  DATOS GENERALES</t>
  </si>
  <si>
    <t>I I  AVANCE FÍSICO Y FINANCIERO</t>
  </si>
  <si>
    <t>II.1 Componente
al que se vincula</t>
  </si>
  <si>
    <t>II.3   Unidad de Medida</t>
  </si>
  <si>
    <t>II.4
Avance Físico  al Mes</t>
  </si>
  <si>
    <t>II.5
Avance Financiero al Mes</t>
  </si>
  <si>
    <t>II.6
Medios de Verificación</t>
  </si>
  <si>
    <t xml:space="preserve"> III    INDICADORES DESEMPEÑO DEL PROGRAMA</t>
  </si>
  <si>
    <t xml:space="preserve">
III.1  Componente
al que se vincula</t>
  </si>
  <si>
    <t>III. 2
 Nombre</t>
  </si>
  <si>
    <t>IV. BALANCE DE LA GESTIÓN</t>
  </si>
  <si>
    <t>IV.1  GESTIÓN MES ANTERIOR</t>
  </si>
  <si>
    <t>IV. 2  GESTIÓN AL MES</t>
  </si>
  <si>
    <t>IV.2  Valoración Balance</t>
  </si>
  <si>
    <t>IV. 3  Alertivos</t>
  </si>
  <si>
    <t>% Ejecución Anual</t>
  </si>
  <si>
    <t>Ejecutado Anual</t>
  </si>
  <si>
    <t>Ejercicio Fiscal</t>
  </si>
  <si>
    <t>Fecha de suscripción:</t>
  </si>
  <si>
    <t>Fecha de último desembolso:</t>
  </si>
  <si>
    <t xml:space="preserve">II.1.
Componente
</t>
  </si>
  <si>
    <t>II.2.
Descripción Meta</t>
  </si>
  <si>
    <t>II.3.
Unidad de Medida</t>
  </si>
  <si>
    <t xml:space="preserve"> I. DATOS GENERALES</t>
  </si>
  <si>
    <t>II. AVANCE FÍSICO Y FINANCIERO (MULTIANUAL)</t>
  </si>
  <si>
    <t>Sección 2. Informe de Avance Físico, Financiero y Desempeño de Préstamos Multianuales</t>
  </si>
  <si>
    <t>Meta Financiera</t>
  </si>
  <si>
    <t>Meta Física</t>
  </si>
  <si>
    <t>Vigente
Anual*</t>
  </si>
  <si>
    <t>III.3
Meta Total</t>
  </si>
  <si>
    <t>III. 4
Meta Anual</t>
  </si>
  <si>
    <t>III.5
 Vigente
(Año)</t>
  </si>
  <si>
    <t>III.6
Ejecutado</t>
  </si>
  <si>
    <t>III.7
Medios de verificación</t>
  </si>
  <si>
    <t>III.8
Notas Aclaratorias</t>
  </si>
  <si>
    <t xml:space="preserve">II.1. No.
Componente
</t>
  </si>
  <si>
    <t>II.2. Nombre del
Componente</t>
  </si>
  <si>
    <t>II.3.
Inversión (Producto)</t>
  </si>
  <si>
    <t>II.4. NOG</t>
  </si>
  <si>
    <t>II.5. SNIP</t>
  </si>
  <si>
    <t>II.6. Observaciones</t>
  </si>
  <si>
    <t>V. AVANCE ACUMULADO TOTAL DEL PRÉSTAMO</t>
  </si>
  <si>
    <t>II.4.
Metas Previstas del Préstamo</t>
  </si>
  <si>
    <t>III. Resumen</t>
  </si>
  <si>
    <t>III.1. Año</t>
  </si>
  <si>
    <t>III.2. Avance Físico del Año</t>
  </si>
  <si>
    <t>III.3. Avance Financiero del Año</t>
  </si>
  <si>
    <t>III.4. Avance Físico Acumulado</t>
  </si>
  <si>
    <t>III.5. Avance Financiero Acumulado</t>
  </si>
  <si>
    <t>Fecha de Inicio de Ejecución</t>
  </si>
  <si>
    <t>Fecha Final de Ejecución</t>
  </si>
  <si>
    <t>% Ejecución Financiera</t>
  </si>
  <si>
    <t>% Ejecución Física</t>
  </si>
  <si>
    <t>Fecha  de Inicio</t>
  </si>
  <si>
    <t>Fecha de Finalización</t>
  </si>
  <si>
    <t>Ejecutado Acumulado</t>
  </si>
  <si>
    <t>% Ejecución **</t>
  </si>
  <si>
    <t>Ejecutado Acumulado Global</t>
  </si>
  <si>
    <t>II.5. 
Fechas Vigentes Según Prorrogas o Ampliaciones</t>
  </si>
  <si>
    <t>II.6.
Avance Físico al Año</t>
  </si>
  <si>
    <t>II.7.
Avance Financiero al Año</t>
  </si>
  <si>
    <t>II.8.
Avance Fisico Acumulado</t>
  </si>
  <si>
    <t>II.9.
Avance Financiero Acumulado</t>
  </si>
  <si>
    <t>II.10.
Observaciones</t>
  </si>
  <si>
    <t>II   PRINCIPALES INVERSIONES</t>
  </si>
  <si>
    <t>Sección 3. - Informe de Avance Físico, Financiero - Principales Inversiones</t>
  </si>
  <si>
    <t>ENERO</t>
  </si>
  <si>
    <t>MINEDUC</t>
  </si>
  <si>
    <t>BID 3618/OC-GU</t>
  </si>
  <si>
    <t>52-0402-0126</t>
  </si>
  <si>
    <t>Habilitación y remozamiento de centros escolares</t>
  </si>
  <si>
    <t>Unidad</t>
  </si>
  <si>
    <t>Administración, supervisión y evaluación</t>
  </si>
  <si>
    <t>Administración del programa</t>
  </si>
  <si>
    <t>N/A</t>
  </si>
  <si>
    <t>Módulos</t>
  </si>
  <si>
    <t>Remozamiento de Centros Escolares vía OPF</t>
  </si>
  <si>
    <t>Equipo Tecnológico</t>
  </si>
  <si>
    <t>Mejora de la calidad de la enseñanza y los aprendizajes</t>
  </si>
  <si>
    <t>Equipo</t>
  </si>
  <si>
    <t>1113-0008</t>
  </si>
  <si>
    <t>Componente 1</t>
  </si>
  <si>
    <t>Habilitacion y Remozamiento de centros escolares</t>
  </si>
  <si>
    <t>Edificios escolares reparados y remozados del nivel preprimaria y primaria</t>
  </si>
  <si>
    <t>Habilitación de centros escolares par el nivel de educación preprimaria</t>
  </si>
  <si>
    <t>Fortalecimiento a los programas de Apoyo del Organismo Ejecutor</t>
  </si>
  <si>
    <t>Remozamiento de las aulas deterioradas en los niveles de educación preprimaria y primaria</t>
  </si>
  <si>
    <t>Establecimientos</t>
  </si>
  <si>
    <t>Componente 2</t>
  </si>
  <si>
    <t>Mejora de la calidad de los Docentes</t>
  </si>
  <si>
    <t>Promoción de la lectura, mantemáticas y valores</t>
  </si>
  <si>
    <t>Documento</t>
  </si>
  <si>
    <t>Componente 3</t>
  </si>
  <si>
    <t>Administración, seguimiento , monitoreo y auditoría</t>
  </si>
  <si>
    <t>Evaluación</t>
  </si>
  <si>
    <t>Adquisición de módulos educativos</t>
  </si>
  <si>
    <t>Adquisición de mobiliarios escolar</t>
  </si>
  <si>
    <t>Docentes de preprimaria capacitados</t>
  </si>
  <si>
    <t>Docente</t>
  </si>
  <si>
    <t>Adquisición de textos escolares</t>
  </si>
  <si>
    <t>Texto</t>
  </si>
  <si>
    <t>Capacitacion a docentes / directores</t>
  </si>
  <si>
    <t>Adquisición de equipo tecnológico</t>
  </si>
  <si>
    <t>Varios</t>
  </si>
  <si>
    <t>Adquisición de módulos educativos preprimaria monolingüe</t>
  </si>
  <si>
    <t>Adquisición de módulos educativos preprimaria bilingüe</t>
  </si>
  <si>
    <t>Adquisición de mobiliario escolar para aulas preprimaria monolingüe</t>
  </si>
  <si>
    <t>Mobiliario</t>
  </si>
  <si>
    <t>Adquisición de mobiliario escolar para aulas preprimaria bilingüe</t>
  </si>
  <si>
    <t>Remozamiento de aulas deterioradas en los niveles de educacion preprimaria transferencias a OPF</t>
  </si>
  <si>
    <t>Transferencia</t>
  </si>
  <si>
    <t>Remozamiento de aulas deterioradas en los niveles de educacion primaria transferencias a OPF</t>
  </si>
  <si>
    <t>Capacitacion de docentes</t>
  </si>
  <si>
    <t>Textos</t>
  </si>
  <si>
    <t>Tecnología</t>
  </si>
  <si>
    <t>Impresión de textos serie Descubro y aprendo para niños y niñas de 4, 5 y 6 años preprimaria</t>
  </si>
  <si>
    <t>NA</t>
  </si>
  <si>
    <t>Capacitación a docentes, FID / PADEP</t>
  </si>
  <si>
    <t>Transferencias</t>
  </si>
  <si>
    <t>Capacitación a Docentes FID / PADEP</t>
  </si>
  <si>
    <t>Censo de infraestructura</t>
  </si>
  <si>
    <t>Mejora de la calidad de la  enseñanza</t>
  </si>
  <si>
    <t xml:space="preserve">Módulos educativos </t>
  </si>
  <si>
    <t>Servicios de desarrollo curricular</t>
  </si>
  <si>
    <t>Consultores formadores comunitarios en gestión escolar en el nivel preprimario</t>
  </si>
  <si>
    <t>Habilitación de centros escolares para el nivel de educación preprimaria</t>
  </si>
  <si>
    <t>ADQUISICIÓN DE EQUIPO TECNOLÓGICO PARA CENTROS EDUCATIVOS OFICIALES DEL NIVEL PRIMARIO</t>
  </si>
  <si>
    <t>Renglon 435</t>
  </si>
  <si>
    <t>Renglón 188</t>
  </si>
  <si>
    <t>Renglón 329</t>
  </si>
  <si>
    <t>Censo de Infraestructura</t>
  </si>
  <si>
    <t>Renglón 181</t>
  </si>
  <si>
    <t>Renglón 324</t>
  </si>
  <si>
    <t>Renglón 185</t>
  </si>
  <si>
    <t>Renglón 297</t>
  </si>
  <si>
    <t>Renglón 299</t>
  </si>
  <si>
    <t>Renglón 328</t>
  </si>
  <si>
    <t>Renglón 186</t>
  </si>
  <si>
    <t>Renglón 189</t>
  </si>
  <si>
    <t>Renglon 189</t>
  </si>
  <si>
    <t>Capacitación Docentes FID/PADEP</t>
  </si>
  <si>
    <t>Programa 11</t>
  </si>
  <si>
    <t>Programa 12</t>
  </si>
  <si>
    <t>Programa 14</t>
  </si>
  <si>
    <t>Renglon 081</t>
  </si>
  <si>
    <t>Renglon 185</t>
  </si>
  <si>
    <t>Módulos educativos</t>
  </si>
  <si>
    <t>Total</t>
  </si>
  <si>
    <t>EJECUTADO</t>
  </si>
  <si>
    <t>INTEGRACIÓN PRESUPUESTARIA INCLUIDA EN EL INFORME</t>
  </si>
  <si>
    <t>VIGENTE</t>
  </si>
  <si>
    <t>EJECUCIÓN FISICA TOTAL</t>
  </si>
  <si>
    <t>EJECUCIÓN FINANCIERA TOTAL</t>
  </si>
  <si>
    <t xml:space="preserve">Evalución </t>
  </si>
  <si>
    <t>Promoción de lectura</t>
  </si>
  <si>
    <t>Consultores formadores comuni.. 189</t>
  </si>
  <si>
    <t>POA / REPORTES DE SICOIN</t>
  </si>
  <si>
    <t>POA / REPORTE DE SICOIN</t>
  </si>
  <si>
    <t>PROMOCION DE LA LECTURA</t>
  </si>
  <si>
    <t>Renglón 122</t>
  </si>
  <si>
    <t>Renglón 199</t>
  </si>
  <si>
    <t>Renglón 324 (mobiliario)</t>
  </si>
  <si>
    <t>Pupitres renglon 324</t>
  </si>
  <si>
    <t>Otros</t>
  </si>
  <si>
    <t>Módulos educativos / mobiliario escolar para módulos</t>
  </si>
  <si>
    <t xml:space="preserve">Evento para la adquisición de Pupitres </t>
  </si>
  <si>
    <t>Evento</t>
  </si>
  <si>
    <t xml:space="preserve">Textos escolares </t>
  </si>
  <si>
    <t>Textos escolares</t>
  </si>
  <si>
    <t>DIPLAN</t>
  </si>
  <si>
    <t>DIGECADE</t>
  </si>
  <si>
    <t>Programa 01</t>
  </si>
  <si>
    <t>otros 171</t>
  </si>
  <si>
    <t>TOTAL</t>
  </si>
  <si>
    <t>Adquisición de Mobiliario Escolar (pupitres) para Centros Educativos del Ministerio de Educación, SDO No. BID3618/OC-GU-LPI-BNS-01-2023.</t>
  </si>
  <si>
    <t>Tecnología en el aula</t>
  </si>
  <si>
    <t xml:space="preserve"> </t>
  </si>
  <si>
    <t>Promoción de Lectura</t>
  </si>
  <si>
    <t>Tecnología en el Aula</t>
  </si>
  <si>
    <t>Programa 02</t>
  </si>
  <si>
    <t>Transferencias a Organizaciones de Padres de Familia -OPF-, para remozamientos de centros educativos, para preprimaria y primaria.</t>
  </si>
  <si>
    <t>Renglon 158</t>
  </si>
  <si>
    <t>informe semestral jul dic 2023</t>
  </si>
  <si>
    <t>Consultoría para la realización para propuesta, diseño y esquema operativo y de procesos y derechos de uso de la solución del Censo de Infraestrutura, contrato SDP-BID-17-2023 Y ENMIENDAS</t>
  </si>
  <si>
    <t xml:space="preserve">debitos seran aprobados en julio </t>
  </si>
  <si>
    <t>Tipo de Cambio 30/06/2024</t>
  </si>
  <si>
    <t>CONTRATO FINALIZADO</t>
  </si>
  <si>
    <t>Consultoría para la realización de una Propuesta y el Diseño de un Esquema Operativo y de Procesos y Derechos de Uso de la solución del Censo de Infraestructura.</t>
  </si>
  <si>
    <t>Módulos educativos / mobiliario escolar para módulos Fase I</t>
  </si>
  <si>
    <t>Módulos educativos / mobiliario escolar para módulos Fase II</t>
  </si>
  <si>
    <t>ADQUISICIÓN DE MÓDULOS PREFABRICADOS PARA CENTROS EDUCATIVOS FASE II</t>
  </si>
  <si>
    <t>ADQUISICIÓN DE MÓDULOS PREFABRICADOS PARA CENTROS EDUCATIVOS FASE I</t>
  </si>
  <si>
    <t xml:space="preserve">Remozamiento de las aulas deterioradas en los niveles de educación preprimaria y primaria </t>
  </si>
  <si>
    <t>LICITACIÓN PÚBLICA INTERNACIONAL SDO No. BID3618/OC-GU-LPI-BNS-2023 "ADQUISICIÓN DE MOBILIARIO ESCOLAR (pupitres)"</t>
  </si>
  <si>
    <t>Las transferencias fueron realizadas hasta el mes de mayo de 2024. Siendo un total de 737 de enero a mayo de 2024. Es importante indicar que las OPF no tiene asignado un NOG, SNIP, por la clase de gasto. Asimismo, no es posible indicar fecha de inicio y finalización, en virtud que cada OPF realiza su ejecución en fechas distintas.</t>
  </si>
  <si>
    <t>Programa 05</t>
  </si>
  <si>
    <t xml:space="preserve">DICIEMBRE </t>
  </si>
  <si>
    <t>DICIEMBRE</t>
  </si>
  <si>
    <t>DERIVADO QUE EL PRESUPUESTO PARA EL EJERCICIO FISCAL 2024 NO FUE APROBADO, CONTINÚA VIGENTE EL PRESUPUESTO DEL AÑO 2023, POR LO QUE EXISTEN ASIGNACIONES PRESUPUESTARIAS QUE NO CORRESPONDEN AL POA 2024. EL ESPACIO PRESUPUESTARIO DEL PRÉSTAMO HA SIDO READECUADO EN EL MES DE DICIEMBRE DE 2024, POR LO QUE SE VE REFLEJADA UNA VARIACIÓN SIGNIFICATIVA EN CUANTO A LA EJECUCIÓN DEL PRESENTE MES, CON RELACIÓN A LO REPORTADO EN EL MES DE NOVIEMBRE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</si>
</sst>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_(* #,##0_);_(* \(#,##0\);_(* &quot;-&quot;??_);_(@_)"/>
  </numFmts>
  <fonts count="41" x14ac:knownFonts="1">
    <font>
      <sz val="11"/>
      <color theme="1"/>
      <name val="Calibri"/>
      <family val="2"/>
      <scheme val="minor"/>
    </font>
    <font>
      <sz val="14"/>
      <color theme="1"/>
      <name val="Calibri"/>
      <family val="2"/>
      <scheme val="minor"/>
    </font>
    <font>
      <b/>
      <sz val="14"/>
      <color theme="2"/>
      <name val="Calibri"/>
      <family val="2"/>
      <scheme val="minor"/>
    </font>
    <font>
      <b/>
      <sz val="14"/>
      <name val="Calibri"/>
      <family val="2"/>
      <scheme val="minor"/>
    </font>
    <font>
      <b/>
      <sz val="12"/>
      <name val="Times New Roman"/>
      <family val="1"/>
    </font>
    <font>
      <b/>
      <sz val="16"/>
      <name val="Times New Roman"/>
      <family val="1"/>
    </font>
    <font>
      <b/>
      <sz val="18"/>
      <name val="Calibri"/>
      <family val="2"/>
      <scheme val="minor"/>
    </font>
    <font>
      <sz val="16"/>
      <color theme="0"/>
      <name val="Calibri"/>
      <family val="2"/>
      <scheme val="minor"/>
    </font>
    <font>
      <sz val="16"/>
      <color theme="1"/>
      <name val="Calibri"/>
      <family val="2"/>
      <scheme val="minor"/>
    </font>
    <font>
      <b/>
      <sz val="16"/>
      <color theme="2"/>
      <name val="Calibri"/>
      <family val="2"/>
      <scheme val="minor"/>
    </font>
    <font>
      <sz val="16"/>
      <name val="Calibri"/>
      <family val="2"/>
      <scheme val="minor"/>
    </font>
    <font>
      <b/>
      <sz val="16"/>
      <color theme="0"/>
      <name val="Calibri"/>
      <family val="2"/>
      <scheme val="minor"/>
    </font>
    <font>
      <sz val="11"/>
      <color theme="1"/>
      <name val="Calibri"/>
      <family val="2"/>
      <scheme val="minor"/>
    </font>
    <font>
      <sz val="12"/>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36"/>
      <color theme="2"/>
      <name val="Calibri"/>
      <family val="2"/>
      <scheme val="minor"/>
    </font>
    <font>
      <sz val="20"/>
      <color theme="1"/>
      <name val="Calibri"/>
      <family val="2"/>
      <scheme val="minor"/>
    </font>
    <font>
      <b/>
      <sz val="20"/>
      <name val="Calibri"/>
      <family val="2"/>
      <scheme val="minor"/>
    </font>
    <font>
      <b/>
      <sz val="48"/>
      <color theme="0"/>
      <name val="Calibri"/>
      <family val="2"/>
      <scheme val="minor"/>
    </font>
    <font>
      <b/>
      <sz val="22"/>
      <color theme="1"/>
      <name val="Calibri"/>
      <family val="2"/>
      <scheme val="minor"/>
    </font>
    <font>
      <b/>
      <sz val="26"/>
      <color theme="1"/>
      <name val="Calibri"/>
      <family val="2"/>
      <scheme val="minor"/>
    </font>
    <font>
      <sz val="22"/>
      <color theme="1"/>
      <name val="Calibri"/>
      <family val="2"/>
      <scheme val="minor"/>
    </font>
    <font>
      <sz val="26"/>
      <color theme="1"/>
      <name val="Calibri"/>
      <family val="2"/>
      <scheme val="minor"/>
    </font>
    <font>
      <b/>
      <sz val="22"/>
      <name val="Times New Roman"/>
      <family val="1"/>
    </font>
    <font>
      <b/>
      <sz val="36"/>
      <color theme="0"/>
      <name val="Calibri"/>
      <family val="2"/>
      <scheme val="minor"/>
    </font>
    <font>
      <b/>
      <sz val="30"/>
      <color theme="0"/>
      <name val="Calibri"/>
      <family val="2"/>
      <scheme val="minor"/>
    </font>
    <font>
      <b/>
      <sz val="28"/>
      <color theme="1"/>
      <name val="Calibri"/>
      <family val="2"/>
      <scheme val="minor"/>
    </font>
    <font>
      <b/>
      <sz val="12"/>
      <name val="Calibri"/>
      <family val="2"/>
      <scheme val="minor"/>
    </font>
    <font>
      <b/>
      <sz val="18"/>
      <color theme="1"/>
      <name val="Calibri"/>
      <family val="2"/>
      <scheme val="minor"/>
    </font>
    <font>
      <sz val="18"/>
      <color theme="1"/>
      <name val="Calibri"/>
      <family val="2"/>
      <scheme val="minor"/>
    </font>
    <font>
      <sz val="14"/>
      <name val="Calibri"/>
      <family val="2"/>
      <scheme val="minor"/>
    </font>
    <font>
      <sz val="9"/>
      <color indexed="81"/>
      <name val="Tahoma"/>
      <family val="2"/>
    </font>
    <font>
      <b/>
      <sz val="9"/>
      <color indexed="81"/>
      <name val="Tahoma"/>
      <family val="2"/>
    </font>
    <font>
      <b/>
      <sz val="12"/>
      <color theme="1"/>
      <name val="Calibri"/>
      <family val="2"/>
      <scheme val="minor"/>
    </font>
    <font>
      <sz val="10"/>
      <color theme="1"/>
      <name val="Calibri"/>
      <family val="2"/>
      <scheme val="minor"/>
    </font>
    <font>
      <b/>
      <sz val="10"/>
      <color theme="1"/>
      <name val="Calibri"/>
      <family val="2"/>
      <scheme val="minor"/>
    </font>
    <font>
      <sz val="8"/>
      <name val="Calibri"/>
      <family val="2"/>
      <scheme val="minor"/>
    </font>
    <font>
      <sz val="12"/>
      <color theme="0"/>
      <name val="Calibri"/>
      <family val="2"/>
      <scheme val="minor"/>
    </font>
    <font>
      <b/>
      <sz val="11"/>
      <color rgb="FFFF0000"/>
      <name val="Calibri"/>
      <family val="2"/>
      <scheme val="minor"/>
    </font>
  </fonts>
  <fills count="15">
    <fill>
      <patternFill patternType="none"/>
    </fill>
    <fill>
      <patternFill patternType="gray125"/>
    </fill>
    <fill>
      <patternFill patternType="solid">
        <fgColor theme="8" tint="-0.249977111117893"/>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0"/>
        <bgColor indexed="64"/>
      </patternFill>
    </fill>
    <fill>
      <patternFill patternType="solid">
        <fgColor theme="6" tint="0.59999389629810485"/>
        <bgColor indexed="64"/>
      </patternFill>
    </fill>
    <fill>
      <patternFill patternType="solid">
        <fgColor theme="5" tint="0.39997558519241921"/>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style="thin">
        <color indexed="64"/>
      </left>
      <right style="thick">
        <color theme="0" tint="-0.24994659260841701"/>
      </right>
      <top style="thick">
        <color theme="0" tint="-0.24994659260841701"/>
      </top>
      <bottom style="thick">
        <color theme="0" tint="-0.24994659260841701"/>
      </bottom>
      <diagonal/>
    </border>
    <border>
      <left style="thin">
        <color indexed="64"/>
      </left>
      <right style="thin">
        <color indexed="64"/>
      </right>
      <top style="thick">
        <color theme="0" tint="-0.24994659260841701"/>
      </top>
      <bottom style="thick">
        <color theme="0" tint="-0.24994659260841701"/>
      </bottom>
      <diagonal/>
    </border>
    <border>
      <left style="thick">
        <color theme="0" tint="-0.24994659260841701"/>
      </left>
      <right style="thin">
        <color auto="1"/>
      </right>
      <top style="thick">
        <color theme="0" tint="-0.24994659260841701"/>
      </top>
      <bottom style="thick">
        <color theme="0" tint="-0.24994659260841701"/>
      </bottom>
      <diagonal/>
    </border>
  </borders>
  <cellStyleXfs count="3">
    <xf numFmtId="0" fontId="0" fillId="0" borderId="0"/>
    <xf numFmtId="164" fontId="12" fillId="0" borderId="0" applyFont="0" applyFill="0" applyBorder="0" applyAlignment="0" applyProtection="0"/>
    <xf numFmtId="9" fontId="12" fillId="0" borderId="0" applyFont="0" applyFill="0" applyBorder="0" applyAlignment="0" applyProtection="0"/>
  </cellStyleXfs>
  <cellXfs count="777">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2" fillId="5" borderId="0" xfId="0" applyFont="1" applyFill="1"/>
    <xf numFmtId="0" fontId="1" fillId="5" borderId="0" xfId="0" applyFont="1" applyFill="1"/>
    <xf numFmtId="0" fontId="2" fillId="0" borderId="0" xfId="0" applyFont="1" applyAlignment="1">
      <alignment horizontal="center" vertical="center"/>
    </xf>
    <xf numFmtId="0" fontId="2" fillId="5" borderId="0" xfId="0" applyFont="1" applyFill="1" applyAlignment="1">
      <alignment horizontal="center" vertical="center"/>
    </xf>
    <xf numFmtId="0" fontId="2" fillId="0" borderId="0" xfId="0" applyFont="1" applyAlignment="1">
      <alignment horizontal="center"/>
    </xf>
    <xf numFmtId="0" fontId="2" fillId="5" borderId="0" xfId="0" applyFont="1" applyFill="1" applyAlignment="1">
      <alignment horizontal="center"/>
    </xf>
    <xf numFmtId="2" fontId="2" fillId="5" borderId="0" xfId="0" applyNumberFormat="1" applyFont="1" applyFill="1" applyAlignment="1">
      <alignment horizontal="center"/>
    </xf>
    <xf numFmtId="2" fontId="1" fillId="0" borderId="0" xfId="0" applyNumberFormat="1" applyFont="1" applyAlignment="1">
      <alignment horizontal="center"/>
    </xf>
    <xf numFmtId="0" fontId="1" fillId="5" borderId="0" xfId="0" applyFont="1" applyFill="1" applyAlignment="1">
      <alignment horizontal="center"/>
    </xf>
    <xf numFmtId="0" fontId="2" fillId="0" borderId="0" xfId="0" applyFont="1" applyAlignment="1">
      <alignment horizontal="right"/>
    </xf>
    <xf numFmtId="0" fontId="1" fillId="0" borderId="6" xfId="0" applyFont="1" applyBorder="1"/>
    <xf numFmtId="0" fontId="1" fillId="0" borderId="2" xfId="0" applyFont="1" applyBorder="1"/>
    <xf numFmtId="0" fontId="1" fillId="0" borderId="12" xfId="0" applyFont="1" applyBorder="1"/>
    <xf numFmtId="0" fontId="4" fillId="0" borderId="0" xfId="0" applyFont="1" applyAlignment="1">
      <alignment vertical="top" wrapText="1"/>
    </xf>
    <xf numFmtId="0" fontId="1" fillId="0" borderId="13" xfId="0" applyFont="1" applyBorder="1"/>
    <xf numFmtId="0" fontId="6" fillId="0" borderId="0" xfId="0" applyFont="1" applyAlignment="1">
      <alignment horizontal="right" vertical="top"/>
    </xf>
    <xf numFmtId="0" fontId="7" fillId="5" borderId="0" xfId="0" applyFont="1" applyFill="1"/>
    <xf numFmtId="0" fontId="7" fillId="5" borderId="0" xfId="0" applyFont="1" applyFill="1" applyAlignment="1">
      <alignment horizontal="center" vertical="center"/>
    </xf>
    <xf numFmtId="0" fontId="7" fillId="5" borderId="0" xfId="0" applyFont="1" applyFill="1" applyAlignment="1">
      <alignment horizontal="center"/>
    </xf>
    <xf numFmtId="2" fontId="7" fillId="5" borderId="0" xfId="0" applyNumberFormat="1" applyFont="1" applyFill="1" applyAlignment="1">
      <alignment horizontal="center"/>
    </xf>
    <xf numFmtId="0" fontId="9" fillId="5" borderId="0" xfId="0" applyFont="1" applyFill="1"/>
    <xf numFmtId="0" fontId="9" fillId="5" borderId="0" xfId="0" applyFont="1" applyFill="1" applyAlignment="1">
      <alignment horizontal="center" vertical="center"/>
    </xf>
    <xf numFmtId="0" fontId="9" fillId="5" borderId="0" xfId="0" applyFont="1" applyFill="1" applyAlignment="1">
      <alignment horizontal="center"/>
    </xf>
    <xf numFmtId="2" fontId="9" fillId="5" borderId="0" xfId="0" applyNumberFormat="1" applyFont="1" applyFill="1" applyAlignment="1">
      <alignment horizontal="center"/>
    </xf>
    <xf numFmtId="0" fontId="8" fillId="5" borderId="0" xfId="0" applyFont="1" applyFill="1" applyAlignment="1">
      <alignment horizontal="center"/>
    </xf>
    <xf numFmtId="0" fontId="8" fillId="5" borderId="0" xfId="0" applyFont="1" applyFill="1"/>
    <xf numFmtId="0" fontId="8" fillId="0" borderId="9" xfId="0" applyFont="1" applyBorder="1"/>
    <xf numFmtId="0" fontId="8" fillId="0" borderId="0" xfId="0" applyFont="1"/>
    <xf numFmtId="0" fontId="8" fillId="0" borderId="0" xfId="0" applyFont="1" applyAlignment="1">
      <alignment horizontal="center" vertical="center"/>
    </xf>
    <xf numFmtId="0" fontId="8" fillId="0" borderId="0" xfId="0" applyFont="1" applyAlignment="1">
      <alignment horizontal="center"/>
    </xf>
    <xf numFmtId="2" fontId="8" fillId="0" borderId="10" xfId="0" applyNumberFormat="1" applyFont="1" applyBorder="1" applyAlignment="1">
      <alignment horizontal="center"/>
    </xf>
    <xf numFmtId="0" fontId="8" fillId="0" borderId="11" xfId="0" applyFont="1" applyBorder="1" applyAlignment="1">
      <alignment horizontal="center"/>
    </xf>
    <xf numFmtId="0" fontId="8" fillId="0" borderId="2" xfId="0" applyFont="1" applyBorder="1" applyAlignment="1">
      <alignment horizontal="center"/>
    </xf>
    <xf numFmtId="0" fontId="8" fillId="0" borderId="10" xfId="0" applyFont="1" applyBorder="1"/>
    <xf numFmtId="0" fontId="8" fillId="0" borderId="9" xfId="0" applyFont="1" applyBorder="1" applyAlignment="1">
      <alignment horizontal="center"/>
    </xf>
    <xf numFmtId="2" fontId="8" fillId="0" borderId="0" xfId="0" applyNumberFormat="1" applyFont="1" applyAlignment="1">
      <alignment horizontal="center"/>
    </xf>
    <xf numFmtId="0" fontId="8" fillId="0" borderId="2" xfId="0" applyFont="1" applyBorder="1" applyAlignment="1">
      <alignment horizontal="center" vertical="center"/>
    </xf>
    <xf numFmtId="0" fontId="8" fillId="0" borderId="5" xfId="0" applyFont="1" applyBorder="1"/>
    <xf numFmtId="0" fontId="8" fillId="0" borderId="5" xfId="0" applyFont="1" applyBorder="1" applyAlignment="1">
      <alignment horizontal="center"/>
    </xf>
    <xf numFmtId="2" fontId="8" fillId="0" borderId="8" xfId="0" applyNumberFormat="1" applyFont="1" applyBorder="1" applyAlignment="1">
      <alignment horizontal="center"/>
    </xf>
    <xf numFmtId="0" fontId="8" fillId="0" borderId="6" xfId="0" applyFont="1" applyBorder="1" applyAlignment="1">
      <alignment horizontal="center"/>
    </xf>
    <xf numFmtId="2" fontId="8" fillId="0" borderId="5" xfId="0" applyNumberFormat="1" applyFont="1" applyBorder="1" applyAlignment="1">
      <alignment horizontal="center"/>
    </xf>
    <xf numFmtId="0" fontId="8" fillId="0" borderId="8" xfId="0" applyFont="1" applyBorder="1"/>
    <xf numFmtId="0" fontId="8" fillId="0" borderId="1" xfId="0" applyFont="1" applyBorder="1" applyAlignment="1">
      <alignment horizontal="center" vertical="center" wrapText="1"/>
    </xf>
    <xf numFmtId="0" fontId="6" fillId="0" borderId="0" xfId="0" applyFont="1" applyAlignment="1">
      <alignment horizontal="right"/>
    </xf>
    <xf numFmtId="0" fontId="1" fillId="0" borderId="1" xfId="0" applyFont="1" applyBorder="1" applyAlignment="1">
      <alignment horizontal="center" vertical="center"/>
    </xf>
    <xf numFmtId="0" fontId="1" fillId="0" borderId="8" xfId="0" applyFont="1" applyBorder="1"/>
    <xf numFmtId="0" fontId="1" fillId="0" borderId="5" xfId="0" applyFont="1" applyBorder="1"/>
    <xf numFmtId="0" fontId="7" fillId="5" borderId="3" xfId="0" applyFont="1" applyFill="1" applyBorder="1"/>
    <xf numFmtId="0" fontId="7" fillId="5" borderId="7" xfId="0" applyFont="1" applyFill="1" applyBorder="1"/>
    <xf numFmtId="0" fontId="7" fillId="5" borderId="7" xfId="0" applyFont="1" applyFill="1" applyBorder="1" applyAlignment="1">
      <alignment horizontal="center" vertical="center"/>
    </xf>
    <xf numFmtId="0" fontId="7" fillId="5" borderId="7" xfId="0" applyFont="1" applyFill="1" applyBorder="1" applyAlignment="1">
      <alignment horizontal="center"/>
    </xf>
    <xf numFmtId="2" fontId="7" fillId="5" borderId="4" xfId="0" applyNumberFormat="1" applyFont="1" applyFill="1" applyBorder="1" applyAlignment="1">
      <alignment horizontal="center"/>
    </xf>
    <xf numFmtId="0" fontId="1" fillId="0" borderId="11" xfId="0" applyFont="1" applyBorder="1"/>
    <xf numFmtId="0" fontId="1" fillId="0" borderId="0" xfId="0" applyFont="1" applyAlignment="1">
      <alignment vertical="top"/>
    </xf>
    <xf numFmtId="0" fontId="8" fillId="0" borderId="1" xfId="0" applyFont="1" applyBorder="1" applyAlignment="1">
      <alignment horizontal="center" wrapText="1"/>
    </xf>
    <xf numFmtId="0" fontId="7" fillId="0" borderId="3" xfId="0" applyFont="1" applyBorder="1"/>
    <xf numFmtId="0" fontId="7" fillId="0" borderId="7" xfId="0" applyFont="1" applyBorder="1"/>
    <xf numFmtId="0" fontId="3" fillId="0" borderId="0" xfId="0" applyFont="1" applyAlignment="1">
      <alignment horizontal="right"/>
    </xf>
    <xf numFmtId="0" fontId="3" fillId="0" borderId="0" xfId="0" applyFont="1" applyAlignment="1">
      <alignment horizontal="center"/>
    </xf>
    <xf numFmtId="9" fontId="0" fillId="0" borderId="0" xfId="2" applyFont="1"/>
    <xf numFmtId="0" fontId="16" fillId="0" borderId="25" xfId="0" applyFont="1" applyBorder="1" applyAlignment="1">
      <alignment horizontal="center" vertical="center"/>
    </xf>
    <xf numFmtId="10" fontId="16" fillId="0" borderId="18" xfId="0" applyNumberFormat="1" applyFont="1" applyBorder="1" applyAlignment="1">
      <alignment horizontal="center" vertical="center"/>
    </xf>
    <xf numFmtId="0" fontId="1" fillId="0" borderId="1" xfId="0" applyFont="1" applyBorder="1" applyAlignment="1">
      <alignment horizontal="center"/>
    </xf>
    <xf numFmtId="0" fontId="16" fillId="0" borderId="13" xfId="0" applyFont="1" applyBorder="1" applyAlignment="1">
      <alignment horizontal="center" vertical="center"/>
    </xf>
    <xf numFmtId="0" fontId="5" fillId="0" borderId="0" xfId="0" applyFont="1" applyAlignment="1">
      <alignment vertical="top" wrapText="1"/>
    </xf>
    <xf numFmtId="10" fontId="16" fillId="0" borderId="17" xfId="0" applyNumberFormat="1" applyFont="1" applyBorder="1" applyAlignment="1">
      <alignment horizontal="center" vertical="center"/>
    </xf>
    <xf numFmtId="0" fontId="1" fillId="0" borderId="20" xfId="0" applyFont="1" applyBorder="1" applyAlignment="1">
      <alignment horizontal="center"/>
    </xf>
    <xf numFmtId="0" fontId="16" fillId="0" borderId="1" xfId="0" applyFont="1" applyBorder="1" applyAlignment="1">
      <alignment horizontal="center" vertical="center"/>
    </xf>
    <xf numFmtId="0" fontId="16" fillId="0" borderId="16" xfId="0" applyFont="1" applyBorder="1" applyAlignment="1">
      <alignment horizontal="center" vertical="center"/>
    </xf>
    <xf numFmtId="0" fontId="1" fillId="0" borderId="16" xfId="0" applyFont="1" applyBorder="1" applyAlignment="1">
      <alignment horizontal="center"/>
    </xf>
    <xf numFmtId="0" fontId="1" fillId="0" borderId="19" xfId="0" applyFont="1" applyBorder="1" applyAlignment="1">
      <alignment horizontal="center"/>
    </xf>
    <xf numFmtId="0" fontId="16" fillId="8" borderId="27" xfId="0" applyFont="1" applyFill="1" applyBorder="1" applyAlignment="1">
      <alignment horizontal="center" vertical="center"/>
    </xf>
    <xf numFmtId="0" fontId="16" fillId="8" borderId="25" xfId="0" applyFont="1" applyFill="1" applyBorder="1" applyAlignment="1">
      <alignment horizontal="center" vertical="center"/>
    </xf>
    <xf numFmtId="0" fontId="1" fillId="8" borderId="55" xfId="0" applyFont="1" applyFill="1" applyBorder="1" applyAlignment="1">
      <alignment horizontal="center" vertical="center"/>
    </xf>
    <xf numFmtId="0" fontId="1" fillId="8" borderId="16" xfId="0" applyFont="1" applyFill="1" applyBorder="1" applyAlignment="1">
      <alignment horizontal="center" vertical="center"/>
    </xf>
    <xf numFmtId="0" fontId="1" fillId="8" borderId="28" xfId="0" applyFont="1" applyFill="1" applyBorder="1" applyAlignment="1">
      <alignment horizontal="center" vertical="center"/>
    </xf>
    <xf numFmtId="164" fontId="16" fillId="10" borderId="13" xfId="1" applyFont="1" applyFill="1" applyBorder="1" applyAlignment="1">
      <alignment vertical="center"/>
    </xf>
    <xf numFmtId="164" fontId="16" fillId="10" borderId="13" xfId="1" applyFont="1" applyFill="1" applyBorder="1" applyAlignment="1"/>
    <xf numFmtId="165" fontId="16" fillId="10" borderId="6" xfId="2" applyNumberFormat="1" applyFont="1" applyFill="1" applyBorder="1" applyAlignment="1"/>
    <xf numFmtId="0" fontId="1" fillId="10" borderId="1" xfId="0" applyFont="1" applyFill="1" applyBorder="1" applyAlignment="1">
      <alignment horizontal="center"/>
    </xf>
    <xf numFmtId="9" fontId="1" fillId="10" borderId="3" xfId="2" applyFont="1" applyFill="1" applyBorder="1" applyAlignment="1"/>
    <xf numFmtId="0" fontId="1" fillId="10" borderId="20" xfId="0" applyFont="1" applyFill="1" applyBorder="1" applyAlignment="1">
      <alignment horizontal="center"/>
    </xf>
    <xf numFmtId="0" fontId="16" fillId="9" borderId="0" xfId="0" applyFont="1" applyFill="1" applyAlignment="1">
      <alignment horizontal="center" vertical="center" wrapText="1"/>
    </xf>
    <xf numFmtId="0" fontId="1" fillId="9" borderId="0" xfId="0" applyFont="1" applyFill="1" applyAlignment="1">
      <alignment horizontal="center" vertical="center" wrapText="1"/>
    </xf>
    <xf numFmtId="10" fontId="14" fillId="9" borderId="0" xfId="0" applyNumberFormat="1" applyFont="1" applyFill="1"/>
    <xf numFmtId="10" fontId="15" fillId="0" borderId="0" xfId="0" applyNumberFormat="1" applyFont="1"/>
    <xf numFmtId="0" fontId="21" fillId="8" borderId="5" xfId="0" applyFont="1" applyFill="1" applyBorder="1" applyAlignment="1">
      <alignment horizontal="center" vertical="top"/>
    </xf>
    <xf numFmtId="0" fontId="23" fillId="8" borderId="7" xfId="0" applyFont="1" applyFill="1" applyBorder="1" applyAlignment="1">
      <alignment horizontal="center" vertical="top"/>
    </xf>
    <xf numFmtId="0" fontId="8" fillId="0" borderId="0" xfId="0" applyFont="1" applyAlignment="1">
      <alignment horizontal="center" wrapText="1"/>
    </xf>
    <xf numFmtId="0" fontId="8" fillId="0" borderId="0" xfId="0" applyFont="1" applyAlignment="1">
      <alignment horizontal="center" vertical="center" wrapText="1"/>
    </xf>
    <xf numFmtId="0" fontId="26" fillId="0" borderId="42" xfId="0" applyFont="1" applyBorder="1" applyAlignment="1">
      <alignment horizontal="center"/>
    </xf>
    <xf numFmtId="0" fontId="26" fillId="0" borderId="43" xfId="0" applyFont="1" applyBorder="1" applyAlignment="1">
      <alignment horizontal="center"/>
    </xf>
    <xf numFmtId="0" fontId="26" fillId="0" borderId="44" xfId="0" applyFont="1" applyBorder="1" applyAlignment="1">
      <alignment horizontal="center"/>
    </xf>
    <xf numFmtId="0" fontId="7" fillId="0" borderId="0" xfId="0" applyFont="1" applyAlignment="1">
      <alignment horizontal="center"/>
    </xf>
    <xf numFmtId="0" fontId="6" fillId="0" borderId="16" xfId="0" applyFont="1" applyBorder="1" applyAlignment="1">
      <alignment horizontal="right"/>
    </xf>
    <xf numFmtId="0" fontId="6" fillId="0" borderId="3" xfId="0" applyFont="1" applyBorder="1" applyAlignment="1">
      <alignment horizontal="right"/>
    </xf>
    <xf numFmtId="0" fontId="6" fillId="0" borderId="19" xfId="0" applyFont="1" applyBorder="1" applyAlignment="1">
      <alignment horizontal="right" vertical="top"/>
    </xf>
    <xf numFmtId="0" fontId="6" fillId="0" borderId="51" xfId="0" applyFont="1" applyBorder="1" applyAlignment="1">
      <alignment horizontal="right" vertical="top"/>
    </xf>
    <xf numFmtId="0" fontId="5" fillId="0" borderId="0" xfId="0" applyFont="1" applyAlignment="1">
      <alignment horizontal="left" vertical="top" wrapText="1"/>
    </xf>
    <xf numFmtId="10" fontId="8" fillId="0" borderId="0" xfId="2" applyNumberFormat="1" applyFont="1" applyBorder="1" applyAlignment="1">
      <alignment horizontal="center" vertical="center"/>
    </xf>
    <xf numFmtId="10" fontId="8" fillId="0" borderId="0" xfId="0" applyNumberFormat="1" applyFont="1" applyAlignment="1">
      <alignment horizontal="center" vertical="center"/>
    </xf>
    <xf numFmtId="0" fontId="21" fillId="8" borderId="42" xfId="0" applyFont="1" applyFill="1" applyBorder="1" applyAlignment="1">
      <alignment vertical="center" wrapText="1"/>
    </xf>
    <xf numFmtId="0" fontId="21" fillId="8" borderId="42" xfId="0" applyFont="1" applyFill="1" applyBorder="1" applyAlignment="1">
      <alignment horizontal="center" vertical="center" wrapText="1"/>
    </xf>
    <xf numFmtId="0" fontId="21" fillId="8" borderId="59" xfId="0" applyFont="1" applyFill="1" applyBorder="1" applyAlignment="1">
      <alignment horizontal="center" vertical="center" wrapText="1"/>
    </xf>
    <xf numFmtId="0" fontId="21" fillId="8" borderId="44" xfId="0" applyFont="1" applyFill="1" applyBorder="1" applyAlignment="1">
      <alignment horizontal="center" vertical="center" wrapText="1"/>
    </xf>
    <xf numFmtId="0" fontId="16" fillId="0" borderId="30" xfId="0" applyFont="1" applyBorder="1" applyAlignment="1">
      <alignment horizontal="center" vertical="center"/>
    </xf>
    <xf numFmtId="164" fontId="16" fillId="0" borderId="17" xfId="1" applyFont="1" applyFill="1" applyBorder="1" applyAlignment="1">
      <alignment horizontal="center" vertical="center"/>
    </xf>
    <xf numFmtId="164" fontId="16" fillId="11" borderId="8" xfId="0" applyNumberFormat="1" applyFont="1" applyFill="1" applyBorder="1" applyAlignment="1">
      <alignment horizontal="center" vertical="center"/>
    </xf>
    <xf numFmtId="10" fontId="16" fillId="11" borderId="6" xfId="2" applyNumberFormat="1" applyFont="1" applyFill="1" applyBorder="1" applyAlignment="1">
      <alignment horizontal="center" vertical="center"/>
    </xf>
    <xf numFmtId="0" fontId="1" fillId="0" borderId="16" xfId="0" applyFont="1" applyBorder="1" applyAlignment="1">
      <alignment horizontal="center" vertical="center"/>
    </xf>
    <xf numFmtId="0" fontId="1" fillId="0" borderId="53" xfId="0" applyFont="1" applyBorder="1" applyAlignment="1">
      <alignment horizontal="center" vertical="center"/>
    </xf>
    <xf numFmtId="164" fontId="1" fillId="0" borderId="18" xfId="1" applyFont="1" applyFill="1" applyBorder="1" applyAlignment="1">
      <alignment horizontal="center" vertical="center"/>
    </xf>
    <xf numFmtId="164" fontId="1" fillId="11" borderId="4" xfId="0" applyNumberFormat="1" applyFont="1" applyFill="1" applyBorder="1" applyAlignment="1">
      <alignment horizontal="center" vertical="center"/>
    </xf>
    <xf numFmtId="0" fontId="16" fillId="0" borderId="53" xfId="0" applyFont="1" applyBorder="1" applyAlignment="1">
      <alignment horizontal="center" vertical="center"/>
    </xf>
    <xf numFmtId="164" fontId="16" fillId="0" borderId="18" xfId="1" applyFont="1" applyFill="1" applyBorder="1" applyAlignment="1">
      <alignment horizontal="center" vertical="center"/>
    </xf>
    <xf numFmtId="0" fontId="1" fillId="0" borderId="19" xfId="0" applyFont="1" applyBorder="1" applyAlignment="1">
      <alignment horizontal="center" vertical="center"/>
    </xf>
    <xf numFmtId="0" fontId="1" fillId="0" borderId="54" xfId="0" applyFont="1" applyBorder="1" applyAlignment="1">
      <alignment horizontal="center" vertical="center"/>
    </xf>
    <xf numFmtId="164" fontId="1" fillId="0" borderId="21" xfId="1" applyFont="1" applyFill="1" applyBorder="1" applyAlignment="1">
      <alignment horizontal="center" vertical="center"/>
    </xf>
    <xf numFmtId="164" fontId="1" fillId="11" borderId="64" xfId="0" applyNumberFormat="1" applyFont="1" applyFill="1" applyBorder="1" applyAlignment="1">
      <alignment horizontal="center" vertical="center"/>
    </xf>
    <xf numFmtId="10" fontId="16" fillId="0" borderId="1" xfId="2" applyNumberFormat="1" applyFont="1" applyBorder="1" applyAlignment="1"/>
    <xf numFmtId="10" fontId="16" fillId="0" borderId="13" xfId="2" applyNumberFormat="1" applyFont="1" applyBorder="1" applyAlignment="1"/>
    <xf numFmtId="10" fontId="16" fillId="0" borderId="25" xfId="2" applyNumberFormat="1" applyFont="1" applyBorder="1" applyAlignment="1"/>
    <xf numFmtId="10" fontId="16" fillId="0" borderId="17" xfId="2" applyNumberFormat="1" applyFont="1" applyBorder="1" applyAlignment="1"/>
    <xf numFmtId="10" fontId="16" fillId="0" borderId="16" xfId="2" applyNumberFormat="1" applyFont="1" applyBorder="1" applyAlignment="1"/>
    <xf numFmtId="10" fontId="16" fillId="0" borderId="18" xfId="2" applyNumberFormat="1" applyFont="1" applyBorder="1" applyAlignment="1"/>
    <xf numFmtId="10" fontId="16" fillId="0" borderId="19" xfId="2" applyNumberFormat="1" applyFont="1" applyBorder="1" applyAlignment="1"/>
    <xf numFmtId="10" fontId="16" fillId="0" borderId="20" xfId="2" applyNumberFormat="1" applyFont="1" applyBorder="1" applyAlignment="1"/>
    <xf numFmtId="10" fontId="16" fillId="0" borderId="21" xfId="2" applyNumberFormat="1" applyFont="1" applyBorder="1" applyAlignment="1"/>
    <xf numFmtId="0" fontId="16" fillId="0" borderId="0" xfId="0" applyFont="1" applyAlignment="1">
      <alignment horizontal="center" wrapText="1"/>
    </xf>
    <xf numFmtId="0" fontId="17" fillId="2" borderId="0" xfId="0" applyFont="1" applyFill="1" applyAlignment="1">
      <alignment horizontal="center"/>
    </xf>
    <xf numFmtId="0" fontId="11" fillId="3" borderId="0" xfId="0" applyFont="1" applyFill="1" applyAlignment="1">
      <alignment horizontal="center"/>
    </xf>
    <xf numFmtId="0" fontId="19" fillId="0" borderId="0" xfId="0" applyFont="1" applyAlignment="1">
      <alignment horizontal="right"/>
    </xf>
    <xf numFmtId="0" fontId="19" fillId="0" borderId="0" xfId="0" applyFont="1" applyAlignment="1">
      <alignment horizontal="right" vertical="top"/>
    </xf>
    <xf numFmtId="0" fontId="7" fillId="5" borderId="0" xfId="0" applyFont="1" applyFill="1" applyAlignment="1">
      <alignment horizontal="left" vertical="center" wrapText="1"/>
    </xf>
    <xf numFmtId="0" fontId="21" fillId="8" borderId="5" xfId="0" applyFont="1" applyFill="1" applyBorder="1" applyAlignment="1">
      <alignment horizontal="center" vertical="center"/>
    </xf>
    <xf numFmtId="0" fontId="16" fillId="0" borderId="43" xfId="0" applyFont="1" applyBorder="1" applyAlignment="1">
      <alignment horizontal="center" wrapText="1"/>
    </xf>
    <xf numFmtId="0" fontId="13" fillId="0" borderId="15" xfId="0" applyFont="1" applyBorder="1" applyAlignment="1">
      <alignment wrapText="1"/>
    </xf>
    <xf numFmtId="0" fontId="8" fillId="5" borderId="0" xfId="0" applyFont="1" applyFill="1" applyAlignment="1">
      <alignment vertical="center"/>
    </xf>
    <xf numFmtId="0" fontId="1" fillId="0" borderId="1" xfId="0" applyFont="1" applyBorder="1" applyAlignment="1">
      <alignment vertical="center" wrapText="1"/>
    </xf>
    <xf numFmtId="164" fontId="13" fillId="0" borderId="1" xfId="1" applyFont="1" applyBorder="1" applyAlignment="1">
      <alignment vertical="center"/>
    </xf>
    <xf numFmtId="0" fontId="1" fillId="0" borderId="1" xfId="0" applyFont="1" applyBorder="1" applyAlignment="1">
      <alignment vertical="center"/>
    </xf>
    <xf numFmtId="4" fontId="1" fillId="0" borderId="0" xfId="0" applyNumberFormat="1" applyFont="1"/>
    <xf numFmtId="0" fontId="1" fillId="0" borderId="3" xfId="0" applyFont="1" applyBorder="1" applyAlignment="1">
      <alignment vertical="center"/>
    </xf>
    <xf numFmtId="0" fontId="1" fillId="0" borderId="7" xfId="0" applyFont="1" applyBorder="1" applyAlignment="1">
      <alignment vertical="center"/>
    </xf>
    <xf numFmtId="0" fontId="1" fillId="0" borderId="4" xfId="0" applyFont="1" applyBorder="1" applyAlignment="1">
      <alignment vertical="center"/>
    </xf>
    <xf numFmtId="4" fontId="1" fillId="0" borderId="1" xfId="0" applyNumberFormat="1" applyFont="1" applyBorder="1" applyAlignment="1">
      <alignment horizontal="right" vertical="center"/>
    </xf>
    <xf numFmtId="4" fontId="15" fillId="0" borderId="13" xfId="0" applyNumberFormat="1" applyFont="1" applyBorder="1" applyAlignment="1">
      <alignment horizontal="right"/>
    </xf>
    <xf numFmtId="0" fontId="2" fillId="5" borderId="0" xfId="0" applyFont="1" applyFill="1" applyAlignment="1">
      <alignment horizontal="left"/>
    </xf>
    <xf numFmtId="10" fontId="2" fillId="5" borderId="0" xfId="0" applyNumberFormat="1" applyFont="1" applyFill="1"/>
    <xf numFmtId="0" fontId="19" fillId="0" borderId="0" xfId="0" applyFont="1" applyAlignment="1">
      <alignment horizontal="left"/>
    </xf>
    <xf numFmtId="0" fontId="19" fillId="0" borderId="0" xfId="0" applyFont="1" applyAlignment="1">
      <alignment horizontal="left" vertical="top"/>
    </xf>
    <xf numFmtId="14" fontId="29" fillId="12" borderId="0" xfId="0" applyNumberFormat="1" applyFont="1" applyFill="1"/>
    <xf numFmtId="0" fontId="22" fillId="0" borderId="13" xfId="0" applyFont="1" applyBorder="1" applyAlignment="1">
      <alignment horizontal="left"/>
    </xf>
    <xf numFmtId="0" fontId="30" fillId="8" borderId="6" xfId="0" applyFont="1" applyFill="1" applyBorder="1" applyAlignment="1">
      <alignment horizontal="left"/>
    </xf>
    <xf numFmtId="0" fontId="1" fillId="8" borderId="3" xfId="0" applyFont="1" applyFill="1" applyBorder="1" applyAlignment="1">
      <alignment horizontal="left" vertical="center" wrapText="1"/>
    </xf>
    <xf numFmtId="0" fontId="1" fillId="8" borderId="7" xfId="0" applyFont="1" applyFill="1" applyBorder="1" applyAlignment="1">
      <alignment horizontal="center" vertical="center"/>
    </xf>
    <xf numFmtId="10" fontId="1" fillId="0" borderId="18" xfId="0" applyNumberFormat="1" applyFont="1" applyBorder="1" applyAlignment="1">
      <alignment horizontal="center" vertical="center"/>
    </xf>
    <xf numFmtId="0" fontId="1" fillId="10" borderId="1" xfId="0" applyFont="1" applyFill="1" applyBorder="1" applyAlignment="1">
      <alignment horizontal="center" vertical="center"/>
    </xf>
    <xf numFmtId="9" fontId="1" fillId="10" borderId="3" xfId="2" applyFont="1" applyFill="1" applyBorder="1" applyAlignment="1">
      <alignment vertical="center"/>
    </xf>
    <xf numFmtId="10" fontId="1" fillId="11" borderId="3" xfId="2" applyNumberFormat="1" applyFont="1" applyFill="1" applyBorder="1" applyAlignment="1">
      <alignment horizontal="center" vertical="center"/>
    </xf>
    <xf numFmtId="10" fontId="16" fillId="0" borderId="16" xfId="2" applyNumberFormat="1" applyFont="1" applyBorder="1" applyAlignment="1">
      <alignment vertical="center"/>
    </xf>
    <xf numFmtId="10" fontId="16" fillId="0" borderId="1" xfId="2" applyNumberFormat="1" applyFont="1" applyBorder="1" applyAlignment="1">
      <alignment vertical="center"/>
    </xf>
    <xf numFmtId="10" fontId="16" fillId="0" borderId="18" xfId="2" applyNumberFormat="1" applyFont="1" applyBorder="1" applyAlignment="1">
      <alignment vertical="center"/>
    </xf>
    <xf numFmtId="0" fontId="0" fillId="0" borderId="0" xfId="0" applyAlignment="1">
      <alignment vertical="center"/>
    </xf>
    <xf numFmtId="0" fontId="1" fillId="8" borderId="6" xfId="0" applyFont="1" applyFill="1" applyBorder="1" applyAlignment="1">
      <alignment horizontal="left" vertical="center" wrapText="1"/>
    </xf>
    <xf numFmtId="0" fontId="15" fillId="8" borderId="27" xfId="0" applyFont="1" applyFill="1" applyBorder="1" applyAlignment="1">
      <alignment horizontal="center" vertical="center"/>
    </xf>
    <xf numFmtId="3" fontId="1" fillId="8" borderId="16" xfId="0" applyNumberFormat="1" applyFont="1" applyFill="1" applyBorder="1" applyAlignment="1">
      <alignment horizontal="center" vertical="center"/>
    </xf>
    <xf numFmtId="0" fontId="8" fillId="0" borderId="16" xfId="0" applyFont="1" applyBorder="1" applyAlignment="1">
      <alignment horizontal="center" vertical="center"/>
    </xf>
    <xf numFmtId="0" fontId="8" fillId="0" borderId="53" xfId="0" applyFont="1" applyBorder="1" applyAlignment="1">
      <alignment horizontal="center" vertical="center"/>
    </xf>
    <xf numFmtId="0" fontId="8" fillId="0" borderId="1" xfId="0" applyFont="1" applyBorder="1" applyAlignment="1">
      <alignment horizontal="center" vertical="center"/>
    </xf>
    <xf numFmtId="10" fontId="8" fillId="0" borderId="18" xfId="0" applyNumberFormat="1" applyFont="1" applyBorder="1" applyAlignment="1">
      <alignment horizontal="center" vertical="center"/>
    </xf>
    <xf numFmtId="164" fontId="8" fillId="10" borderId="13" xfId="1" applyFont="1" applyFill="1" applyBorder="1" applyAlignment="1">
      <alignment vertical="center"/>
    </xf>
    <xf numFmtId="165" fontId="8" fillId="10" borderId="6" xfId="2" applyNumberFormat="1" applyFont="1" applyFill="1" applyBorder="1" applyAlignment="1">
      <alignment vertical="center"/>
    </xf>
    <xf numFmtId="164" fontId="8" fillId="0" borderId="18" xfId="1" applyFont="1" applyFill="1" applyBorder="1" applyAlignment="1">
      <alignment horizontal="center" vertical="center"/>
    </xf>
    <xf numFmtId="164" fontId="8" fillId="11" borderId="8" xfId="0" applyNumberFormat="1" applyFont="1" applyFill="1" applyBorder="1" applyAlignment="1">
      <alignment horizontal="center" vertical="center"/>
    </xf>
    <xf numFmtId="10" fontId="8" fillId="11" borderId="6" xfId="2" applyNumberFormat="1" applyFont="1" applyFill="1" applyBorder="1" applyAlignment="1">
      <alignment horizontal="center" vertical="center"/>
    </xf>
    <xf numFmtId="0" fontId="30" fillId="8" borderId="6" xfId="0" applyFont="1" applyFill="1" applyBorder="1" applyAlignment="1">
      <alignment horizontal="left" wrapText="1"/>
    </xf>
    <xf numFmtId="0" fontId="15" fillId="8" borderId="7" xfId="0" applyFont="1" applyFill="1" applyBorder="1" applyAlignment="1">
      <alignment horizontal="center" vertical="top"/>
    </xf>
    <xf numFmtId="0" fontId="15" fillId="8" borderId="25" xfId="0" applyFont="1" applyFill="1" applyBorder="1" applyAlignment="1">
      <alignment horizontal="center" vertical="center"/>
    </xf>
    <xf numFmtId="0" fontId="1" fillId="8" borderId="3" xfId="0" applyFont="1" applyFill="1" applyBorder="1" applyAlignment="1">
      <alignment horizontal="left" wrapText="1"/>
    </xf>
    <xf numFmtId="0" fontId="1" fillId="8" borderId="7" xfId="0" applyFont="1" applyFill="1" applyBorder="1" applyAlignment="1">
      <alignment horizontal="center" vertical="top"/>
    </xf>
    <xf numFmtId="3" fontId="1" fillId="8" borderId="55" xfId="0" applyNumberFormat="1" applyFont="1" applyFill="1" applyBorder="1" applyAlignment="1">
      <alignment horizontal="center" vertical="center"/>
    </xf>
    <xf numFmtId="0" fontId="1" fillId="8" borderId="66" xfId="0" applyFont="1" applyFill="1" applyBorder="1" applyAlignment="1">
      <alignment horizontal="left"/>
    </xf>
    <xf numFmtId="0" fontId="1" fillId="8" borderId="2" xfId="0" applyFont="1" applyFill="1" applyBorder="1" applyAlignment="1">
      <alignment horizontal="left"/>
    </xf>
    <xf numFmtId="0" fontId="1" fillId="8" borderId="67" xfId="0" applyFont="1" applyFill="1" applyBorder="1" applyAlignment="1">
      <alignment horizontal="left"/>
    </xf>
    <xf numFmtId="0" fontId="1" fillId="8" borderId="68" xfId="0" applyFont="1" applyFill="1" applyBorder="1" applyAlignment="1">
      <alignment horizontal="center" vertical="center"/>
    </xf>
    <xf numFmtId="0" fontId="1" fillId="0" borderId="69" xfId="0" applyFont="1" applyBorder="1" applyAlignment="1">
      <alignment horizontal="center" vertical="center"/>
    </xf>
    <xf numFmtId="0" fontId="1" fillId="0" borderId="67" xfId="0" applyFont="1" applyBorder="1" applyAlignment="1">
      <alignment horizontal="center" vertical="center"/>
    </xf>
    <xf numFmtId="0" fontId="1" fillId="0" borderId="69" xfId="0" applyFont="1" applyBorder="1" applyAlignment="1">
      <alignment horizontal="center"/>
    </xf>
    <xf numFmtId="0" fontId="1" fillId="0" borderId="14" xfId="0" applyFont="1" applyBorder="1" applyAlignment="1">
      <alignment horizontal="center"/>
    </xf>
    <xf numFmtId="10" fontId="1" fillId="0" borderId="70" xfId="0" applyNumberFormat="1" applyFont="1" applyBorder="1" applyAlignment="1">
      <alignment horizontal="center" vertical="center"/>
    </xf>
    <xf numFmtId="0" fontId="1" fillId="10" borderId="14" xfId="0" applyFont="1" applyFill="1" applyBorder="1" applyAlignment="1">
      <alignment horizontal="center"/>
    </xf>
    <xf numFmtId="9" fontId="1" fillId="10" borderId="11" xfId="2" applyFont="1" applyFill="1" applyBorder="1" applyAlignment="1"/>
    <xf numFmtId="164" fontId="1" fillId="0" borderId="70" xfId="1" applyFont="1" applyFill="1" applyBorder="1" applyAlignment="1">
      <alignment horizontal="center" vertical="center"/>
    </xf>
    <xf numFmtId="164" fontId="1" fillId="11" borderId="12" xfId="0" applyNumberFormat="1" applyFont="1" applyFill="1" applyBorder="1" applyAlignment="1">
      <alignment horizontal="center" vertical="center"/>
    </xf>
    <xf numFmtId="10" fontId="1" fillId="11" borderId="11" xfId="2" applyNumberFormat="1" applyFont="1" applyFill="1" applyBorder="1" applyAlignment="1">
      <alignment horizontal="center" vertical="center"/>
    </xf>
    <xf numFmtId="10" fontId="16" fillId="0" borderId="69" xfId="2" applyNumberFormat="1" applyFont="1" applyBorder="1" applyAlignment="1"/>
    <xf numFmtId="10" fontId="16" fillId="0" borderId="14" xfId="2" applyNumberFormat="1" applyFont="1" applyBorder="1" applyAlignment="1"/>
    <xf numFmtId="10" fontId="16" fillId="0" borderId="70" xfId="2" applyNumberFormat="1" applyFont="1" applyBorder="1" applyAlignment="1"/>
    <xf numFmtId="0" fontId="1" fillId="0" borderId="66" xfId="0" applyFont="1" applyBorder="1" applyAlignment="1">
      <alignment horizontal="center" vertical="center"/>
    </xf>
    <xf numFmtId="10" fontId="1" fillId="0" borderId="1" xfId="0" applyNumberFormat="1" applyFont="1" applyBorder="1" applyAlignment="1">
      <alignment horizontal="center" vertical="center"/>
    </xf>
    <xf numFmtId="0" fontId="1" fillId="0" borderId="12" xfId="0" applyFont="1" applyBorder="1" applyAlignment="1">
      <alignment horizontal="center"/>
    </xf>
    <xf numFmtId="0" fontId="1" fillId="8" borderId="70" xfId="0" applyFont="1" applyFill="1" applyBorder="1" applyAlignment="1">
      <alignment horizontal="left" wrapText="1"/>
    </xf>
    <xf numFmtId="0" fontId="1" fillId="8" borderId="2" xfId="0" applyFont="1" applyFill="1" applyBorder="1" applyAlignment="1">
      <alignment horizontal="center" vertical="center"/>
    </xf>
    <xf numFmtId="0" fontId="1" fillId="8" borderId="14" xfId="0" applyFont="1" applyFill="1" applyBorder="1" applyAlignment="1">
      <alignment horizontal="center" vertical="center"/>
    </xf>
    <xf numFmtId="0" fontId="1" fillId="0" borderId="14" xfId="0" applyFont="1" applyBorder="1" applyAlignment="1">
      <alignment horizontal="center" vertical="center"/>
    </xf>
    <xf numFmtId="10" fontId="1" fillId="0" borderId="14" xfId="0" applyNumberFormat="1" applyFont="1" applyBorder="1" applyAlignment="1">
      <alignment horizontal="center" vertical="center"/>
    </xf>
    <xf numFmtId="0" fontId="1" fillId="10" borderId="14" xfId="0" applyFont="1" applyFill="1" applyBorder="1" applyAlignment="1">
      <alignment horizontal="center" vertical="center"/>
    </xf>
    <xf numFmtId="164" fontId="1" fillId="0" borderId="14" xfId="1" applyFont="1" applyFill="1" applyBorder="1" applyAlignment="1">
      <alignment horizontal="center" vertical="center"/>
    </xf>
    <xf numFmtId="164" fontId="1" fillId="11" borderId="14" xfId="0" applyNumberFormat="1" applyFont="1" applyFill="1" applyBorder="1" applyAlignment="1">
      <alignment horizontal="center" vertical="center"/>
    </xf>
    <xf numFmtId="10" fontId="1" fillId="11" borderId="14" xfId="2" applyNumberFormat="1" applyFont="1" applyFill="1" applyBorder="1" applyAlignment="1">
      <alignment horizontal="center" vertical="center"/>
    </xf>
    <xf numFmtId="0" fontId="1" fillId="8" borderId="7" xfId="0" applyFont="1" applyFill="1" applyBorder="1" applyAlignment="1">
      <alignment horizontal="center"/>
    </xf>
    <xf numFmtId="4" fontId="1" fillId="8" borderId="7" xfId="0" applyNumberFormat="1" applyFont="1" applyFill="1" applyBorder="1" applyAlignment="1">
      <alignment horizontal="center" vertical="center"/>
    </xf>
    <xf numFmtId="0" fontId="1" fillId="0" borderId="7" xfId="0" applyFont="1" applyBorder="1" applyAlignment="1">
      <alignment horizontal="center" vertical="center"/>
    </xf>
    <xf numFmtId="0" fontId="1" fillId="0" borderId="7" xfId="0" applyFont="1" applyBorder="1" applyAlignment="1">
      <alignment horizontal="center"/>
    </xf>
    <xf numFmtId="10" fontId="1" fillId="0" borderId="7" xfId="0" applyNumberFormat="1" applyFont="1" applyBorder="1" applyAlignment="1">
      <alignment horizontal="center" vertical="center"/>
    </xf>
    <xf numFmtId="0" fontId="1" fillId="12" borderId="7" xfId="0" applyFont="1" applyFill="1" applyBorder="1" applyAlignment="1">
      <alignment horizontal="center"/>
    </xf>
    <xf numFmtId="9" fontId="1" fillId="12" borderId="7" xfId="2" applyFont="1" applyFill="1" applyBorder="1" applyAlignment="1"/>
    <xf numFmtId="164" fontId="1" fillId="0" borderId="7" xfId="1" applyFont="1" applyFill="1" applyBorder="1" applyAlignment="1">
      <alignment horizontal="center" vertical="center"/>
    </xf>
    <xf numFmtId="164" fontId="1" fillId="11" borderId="7" xfId="0" applyNumberFormat="1" applyFont="1" applyFill="1" applyBorder="1" applyAlignment="1">
      <alignment horizontal="center" vertical="center"/>
    </xf>
    <xf numFmtId="10" fontId="1" fillId="11" borderId="7" xfId="2" applyNumberFormat="1" applyFont="1" applyFill="1" applyBorder="1" applyAlignment="1">
      <alignment horizontal="center" vertical="center"/>
    </xf>
    <xf numFmtId="10" fontId="16" fillId="0" borderId="7" xfId="2" applyNumberFormat="1" applyFont="1" applyBorder="1" applyAlignment="1"/>
    <xf numFmtId="10" fontId="16" fillId="0" borderId="4" xfId="2" applyNumberFormat="1" applyFont="1" applyBorder="1" applyAlignment="1"/>
    <xf numFmtId="0" fontId="30" fillId="8" borderId="6" xfId="0" applyFont="1" applyFill="1" applyBorder="1" applyAlignment="1">
      <alignment horizontal="left" vertical="center"/>
    </xf>
    <xf numFmtId="165" fontId="16" fillId="10" borderId="6" xfId="2" applyNumberFormat="1" applyFont="1" applyFill="1" applyBorder="1" applyAlignment="1">
      <alignment horizontal="center" vertical="center"/>
    </xf>
    <xf numFmtId="10" fontId="16" fillId="0" borderId="25" xfId="2" applyNumberFormat="1" applyFont="1" applyBorder="1" applyAlignment="1">
      <alignment vertical="center"/>
    </xf>
    <xf numFmtId="10" fontId="16" fillId="0" borderId="13" xfId="2" applyNumberFormat="1" applyFont="1" applyBorder="1" applyAlignment="1">
      <alignment vertical="center"/>
    </xf>
    <xf numFmtId="10" fontId="16" fillId="0" borderId="17" xfId="2" applyNumberFormat="1" applyFont="1" applyBorder="1" applyAlignment="1">
      <alignment vertical="center"/>
    </xf>
    <xf numFmtId="10" fontId="16" fillId="9" borderId="0" xfId="0" applyNumberFormat="1" applyFont="1" applyFill="1" applyAlignment="1">
      <alignment vertical="center"/>
    </xf>
    <xf numFmtId="4" fontId="1" fillId="8" borderId="16" xfId="0" applyNumberFormat="1" applyFont="1" applyFill="1" applyBorder="1" applyAlignment="1">
      <alignment horizontal="center" vertical="center"/>
    </xf>
    <xf numFmtId="14" fontId="1" fillId="0" borderId="16" xfId="0" applyNumberFormat="1" applyFont="1" applyBorder="1" applyAlignment="1">
      <alignment horizontal="center" vertical="center"/>
    </xf>
    <xf numFmtId="14" fontId="1" fillId="0" borderId="53" xfId="0" applyNumberFormat="1" applyFont="1" applyBorder="1" applyAlignment="1">
      <alignment horizontal="center" vertical="center"/>
    </xf>
    <xf numFmtId="4" fontId="1" fillId="10" borderId="1" xfId="0" applyNumberFormat="1" applyFont="1" applyFill="1" applyBorder="1" applyAlignment="1">
      <alignment horizontal="right" vertical="center"/>
    </xf>
    <xf numFmtId="10" fontId="1" fillId="10" borderId="3" xfId="2" applyNumberFormat="1" applyFont="1" applyFill="1" applyBorder="1" applyAlignment="1">
      <alignment horizontal="center" vertical="center"/>
    </xf>
    <xf numFmtId="3" fontId="1" fillId="0" borderId="16" xfId="0" applyNumberFormat="1" applyFont="1" applyBorder="1" applyAlignment="1">
      <alignment horizontal="center" vertical="center"/>
    </xf>
    <xf numFmtId="10" fontId="15" fillId="0" borderId="18" xfId="2" applyNumberFormat="1" applyFont="1" applyFill="1" applyBorder="1" applyAlignment="1">
      <alignment horizontal="center" vertical="center"/>
    </xf>
    <xf numFmtId="10" fontId="14" fillId="9" borderId="0" xfId="0" applyNumberFormat="1" applyFont="1" applyFill="1" applyAlignment="1">
      <alignment vertical="center"/>
    </xf>
    <xf numFmtId="0" fontId="30" fillId="8" borderId="3" xfId="0" applyFont="1" applyFill="1" applyBorder="1" applyAlignment="1">
      <alignment horizontal="left" vertical="center" wrapText="1"/>
    </xf>
    <xf numFmtId="0" fontId="15" fillId="8" borderId="47" xfId="0" applyFont="1" applyFill="1" applyBorder="1" applyAlignment="1">
      <alignment horizontal="left" vertical="center" wrapText="1"/>
    </xf>
    <xf numFmtId="0" fontId="15" fillId="8" borderId="7" xfId="0" applyFont="1" applyFill="1" applyBorder="1" applyAlignment="1">
      <alignment horizontal="left" vertical="center" wrapText="1"/>
    </xf>
    <xf numFmtId="0" fontId="15" fillId="8" borderId="53" xfId="0" applyFont="1" applyFill="1" applyBorder="1" applyAlignment="1">
      <alignment horizontal="left" vertical="center" wrapText="1"/>
    </xf>
    <xf numFmtId="3" fontId="1" fillId="8" borderId="27" xfId="0" applyNumberFormat="1" applyFont="1" applyFill="1" applyBorder="1" applyAlignment="1">
      <alignment horizontal="center" vertical="center"/>
    </xf>
    <xf numFmtId="4" fontId="1" fillId="8" borderId="25" xfId="0" applyNumberFormat="1" applyFont="1" applyFill="1" applyBorder="1" applyAlignment="1">
      <alignment horizontal="center" vertical="center"/>
    </xf>
    <xf numFmtId="3" fontId="1" fillId="0" borderId="1" xfId="0" applyNumberFormat="1" applyFont="1" applyBorder="1" applyAlignment="1">
      <alignment horizontal="center" vertical="center"/>
    </xf>
    <xf numFmtId="10" fontId="1" fillId="0" borderId="6" xfId="2" applyNumberFormat="1" applyFont="1" applyFill="1" applyBorder="1" applyAlignment="1">
      <alignment horizontal="center" vertical="center"/>
    </xf>
    <xf numFmtId="4" fontId="1" fillId="10" borderId="16" xfId="1" applyNumberFormat="1" applyFont="1" applyFill="1" applyBorder="1" applyAlignment="1">
      <alignment horizontal="right" vertical="center"/>
    </xf>
    <xf numFmtId="10" fontId="1" fillId="10" borderId="6" xfId="2" applyNumberFormat="1" applyFont="1" applyFill="1" applyBorder="1" applyAlignment="1">
      <alignment horizontal="center" vertical="center"/>
    </xf>
    <xf numFmtId="3" fontId="15" fillId="0" borderId="16" xfId="0" applyNumberFormat="1" applyFont="1" applyBorder="1" applyAlignment="1">
      <alignment horizontal="center" vertical="center"/>
    </xf>
    <xf numFmtId="164" fontId="15" fillId="11" borderId="8" xfId="0" applyNumberFormat="1" applyFont="1" applyFill="1" applyBorder="1" applyAlignment="1">
      <alignment horizontal="center" vertical="center"/>
    </xf>
    <xf numFmtId="10" fontId="15" fillId="11" borderId="6" xfId="2" applyNumberFormat="1" applyFont="1" applyFill="1" applyBorder="1" applyAlignment="1">
      <alignment horizontal="center" vertical="center"/>
    </xf>
    <xf numFmtId="4" fontId="1" fillId="10" borderId="16" xfId="0" applyNumberFormat="1" applyFont="1" applyFill="1" applyBorder="1" applyAlignment="1">
      <alignment horizontal="right" vertical="center"/>
    </xf>
    <xf numFmtId="4" fontId="1" fillId="10" borderId="25" xfId="1" applyNumberFormat="1" applyFont="1" applyFill="1" applyBorder="1" applyAlignment="1">
      <alignment horizontal="right" vertical="center"/>
    </xf>
    <xf numFmtId="10" fontId="1" fillId="0" borderId="3" xfId="0" applyNumberFormat="1" applyFont="1" applyBorder="1" applyAlignment="1">
      <alignment horizontal="center" vertical="center"/>
    </xf>
    <xf numFmtId="4" fontId="1" fillId="10" borderId="16" xfId="0" applyNumberFormat="1" applyFont="1" applyFill="1" applyBorder="1" applyAlignment="1">
      <alignment horizontal="center" vertical="center"/>
    </xf>
    <xf numFmtId="4" fontId="1" fillId="10" borderId="1" xfId="0" applyNumberFormat="1" applyFont="1" applyFill="1" applyBorder="1" applyAlignment="1">
      <alignment horizontal="center" vertical="center"/>
    </xf>
    <xf numFmtId="9" fontId="1" fillId="10" borderId="3" xfId="2" applyFont="1" applyFill="1" applyBorder="1" applyAlignment="1">
      <alignment horizontal="center" vertical="center"/>
    </xf>
    <xf numFmtId="9" fontId="0" fillId="0" borderId="0" xfId="2" applyFont="1" applyAlignment="1">
      <alignment vertical="center"/>
    </xf>
    <xf numFmtId="0" fontId="31" fillId="8" borderId="3" xfId="0" applyFont="1" applyFill="1" applyBorder="1" applyAlignment="1">
      <alignment horizontal="left" vertical="center" wrapText="1"/>
    </xf>
    <xf numFmtId="0" fontId="1" fillId="0" borderId="47" xfId="0" applyFont="1" applyBorder="1" applyAlignment="1">
      <alignment horizontal="center" vertical="center"/>
    </xf>
    <xf numFmtId="0" fontId="23" fillId="8" borderId="3" xfId="0" applyFont="1" applyFill="1" applyBorder="1" applyAlignment="1">
      <alignment horizontal="left" wrapText="1"/>
    </xf>
    <xf numFmtId="3" fontId="1" fillId="0" borderId="19" xfId="0" applyNumberFormat="1" applyFont="1" applyBorder="1" applyAlignment="1">
      <alignment horizontal="center"/>
    </xf>
    <xf numFmtId="10" fontId="1" fillId="0" borderId="21" xfId="0" applyNumberFormat="1" applyFont="1" applyBorder="1" applyAlignment="1">
      <alignment horizontal="center" vertical="center"/>
    </xf>
    <xf numFmtId="4" fontId="1" fillId="10" borderId="20" xfId="0" applyNumberFormat="1" applyFont="1" applyFill="1" applyBorder="1" applyAlignment="1">
      <alignment horizontal="center"/>
    </xf>
    <xf numFmtId="9" fontId="1" fillId="10" borderId="51" xfId="2" applyFont="1" applyFill="1" applyBorder="1" applyAlignment="1">
      <alignment horizontal="center"/>
    </xf>
    <xf numFmtId="166" fontId="1" fillId="10" borderId="6" xfId="2" applyNumberFormat="1" applyFont="1" applyFill="1" applyBorder="1" applyAlignment="1">
      <alignment horizontal="center" vertical="center"/>
    </xf>
    <xf numFmtId="10" fontId="1" fillId="11" borderId="51" xfId="2" applyNumberFormat="1" applyFont="1" applyFill="1" applyBorder="1" applyAlignment="1">
      <alignment horizontal="center" vertical="center"/>
    </xf>
    <xf numFmtId="0" fontId="16" fillId="0" borderId="42" xfId="0" applyFont="1" applyBorder="1" applyAlignment="1">
      <alignment horizontal="left" wrapText="1"/>
    </xf>
    <xf numFmtId="0" fontId="16" fillId="0" borderId="43" xfId="0" applyFont="1" applyBorder="1" applyAlignment="1">
      <alignment wrapText="1"/>
    </xf>
    <xf numFmtId="10" fontId="16" fillId="0" borderId="43" xfId="0" applyNumberFormat="1" applyFont="1" applyBorder="1" applyAlignment="1">
      <alignment wrapText="1"/>
    </xf>
    <xf numFmtId="4" fontId="16" fillId="0" borderId="43" xfId="0" applyNumberFormat="1" applyFont="1" applyBorder="1" applyAlignment="1">
      <alignment wrapText="1"/>
    </xf>
    <xf numFmtId="164" fontId="1" fillId="10" borderId="6" xfId="2" applyNumberFormat="1" applyFont="1" applyFill="1" applyBorder="1" applyAlignment="1">
      <alignment horizontal="center" vertical="center"/>
    </xf>
    <xf numFmtId="0" fontId="16" fillId="0" borderId="48" xfId="0" applyFont="1" applyBorder="1" applyAlignment="1">
      <alignment wrapText="1"/>
    </xf>
    <xf numFmtId="0" fontId="16" fillId="0" borderId="40" xfId="0" applyFont="1" applyBorder="1" applyAlignment="1">
      <alignment wrapText="1"/>
    </xf>
    <xf numFmtId="10" fontId="1" fillId="0" borderId="18" xfId="2" applyNumberFormat="1" applyFont="1" applyFill="1" applyBorder="1" applyAlignment="1">
      <alignment horizontal="center" vertical="center"/>
    </xf>
    <xf numFmtId="0" fontId="31" fillId="8" borderId="6" xfId="0" applyFont="1" applyFill="1" applyBorder="1" applyAlignment="1">
      <alignment horizontal="left" vertical="center" wrapText="1"/>
    </xf>
    <xf numFmtId="14" fontId="1" fillId="0" borderId="47" xfId="0" applyNumberFormat="1" applyFont="1" applyBorder="1" applyAlignment="1">
      <alignment horizontal="center" vertical="center"/>
    </xf>
    <xf numFmtId="14" fontId="1" fillId="0" borderId="1" xfId="0" applyNumberFormat="1" applyFont="1" applyBorder="1" applyAlignment="1">
      <alignment horizontal="center" vertical="center"/>
    </xf>
    <xf numFmtId="10" fontId="15" fillId="0" borderId="6" xfId="2" applyNumberFormat="1" applyFont="1" applyFill="1" applyBorder="1" applyAlignment="1">
      <alignment horizontal="center" vertical="center"/>
    </xf>
    <xf numFmtId="3" fontId="16" fillId="0" borderId="43" xfId="0" applyNumberFormat="1" applyFont="1" applyBorder="1" applyAlignment="1">
      <alignment wrapText="1"/>
    </xf>
    <xf numFmtId="10" fontId="16" fillId="0" borderId="43" xfId="2" applyNumberFormat="1" applyFont="1" applyBorder="1" applyAlignment="1">
      <alignment wrapText="1"/>
    </xf>
    <xf numFmtId="164" fontId="16" fillId="0" borderId="43" xfId="0" applyNumberFormat="1" applyFont="1" applyBorder="1" applyAlignment="1">
      <alignment wrapText="1"/>
    </xf>
    <xf numFmtId="10" fontId="16" fillId="0" borderId="6" xfId="0" applyNumberFormat="1" applyFont="1" applyBorder="1" applyAlignment="1">
      <alignment horizontal="center" vertical="center"/>
    </xf>
    <xf numFmtId="164" fontId="16" fillId="10" borderId="22" xfId="1" applyFont="1" applyFill="1" applyBorder="1" applyAlignment="1">
      <alignment vertical="center"/>
    </xf>
    <xf numFmtId="164" fontId="16" fillId="10" borderId="65" xfId="1" applyFont="1" applyFill="1" applyBorder="1" applyAlignment="1">
      <alignment vertical="center"/>
    </xf>
    <xf numFmtId="165" fontId="16" fillId="10" borderId="62" xfId="2" applyNumberFormat="1" applyFont="1" applyFill="1" applyBorder="1" applyAlignment="1">
      <alignment horizontal="center" vertical="center"/>
    </xf>
    <xf numFmtId="0" fontId="16" fillId="0" borderId="22" xfId="0" applyFont="1" applyBorder="1" applyAlignment="1">
      <alignment horizontal="center" vertical="center"/>
    </xf>
    <xf numFmtId="164" fontId="16" fillId="0" borderId="62" xfId="1" applyFont="1" applyFill="1" applyBorder="1" applyAlignment="1">
      <alignment horizontal="center" vertical="center"/>
    </xf>
    <xf numFmtId="165" fontId="1" fillId="0" borderId="3" xfId="0" applyNumberFormat="1" applyFont="1" applyBorder="1" applyAlignment="1">
      <alignment horizontal="center" vertical="center"/>
    </xf>
    <xf numFmtId="10" fontId="1" fillId="10" borderId="18" xfId="2" applyNumberFormat="1" applyFont="1" applyFill="1" applyBorder="1" applyAlignment="1">
      <alignment horizontal="center" vertical="center"/>
    </xf>
    <xf numFmtId="165" fontId="1" fillId="0" borderId="18" xfId="2" applyNumberFormat="1" applyFont="1" applyFill="1" applyBorder="1" applyAlignment="1">
      <alignment horizontal="center" vertical="center"/>
    </xf>
    <xf numFmtId="0" fontId="1" fillId="0" borderId="4" xfId="0" applyFont="1" applyBorder="1" applyAlignment="1">
      <alignment horizontal="center" vertical="center"/>
    </xf>
    <xf numFmtId="0" fontId="32" fillId="0" borderId="16" xfId="0" applyFont="1" applyBorder="1" applyAlignment="1">
      <alignment horizontal="center" vertical="center"/>
    </xf>
    <xf numFmtId="10" fontId="1" fillId="10" borderId="17" xfId="2" applyNumberFormat="1" applyFont="1" applyFill="1" applyBorder="1" applyAlignment="1">
      <alignment horizontal="center" vertical="center"/>
    </xf>
    <xf numFmtId="0" fontId="1" fillId="8" borderId="47" xfId="0" applyFont="1" applyFill="1" applyBorder="1" applyAlignment="1">
      <alignment horizontal="left" vertical="center" wrapText="1"/>
    </xf>
    <xf numFmtId="0" fontId="1" fillId="8" borderId="7" xfId="0" applyFont="1" applyFill="1" applyBorder="1" applyAlignment="1">
      <alignment horizontal="left" vertical="center" wrapText="1"/>
    </xf>
    <xf numFmtId="0" fontId="1" fillId="8" borderId="53" xfId="0" applyFont="1" applyFill="1" applyBorder="1" applyAlignment="1">
      <alignment horizontal="left" vertical="center" wrapText="1"/>
    </xf>
    <xf numFmtId="9" fontId="1" fillId="10" borderId="18" xfId="2" applyFont="1" applyFill="1" applyBorder="1" applyAlignment="1">
      <alignment horizontal="center" vertical="center"/>
    </xf>
    <xf numFmtId="4" fontId="1" fillId="10" borderId="19" xfId="1" applyNumberFormat="1" applyFont="1" applyFill="1" applyBorder="1" applyAlignment="1">
      <alignment horizontal="right" vertical="center"/>
    </xf>
    <xf numFmtId="4" fontId="1" fillId="10" borderId="20" xfId="0" applyNumberFormat="1" applyFont="1" applyFill="1" applyBorder="1" applyAlignment="1">
      <alignment horizontal="right" vertical="center"/>
    </xf>
    <xf numFmtId="10" fontId="1" fillId="10" borderId="21" xfId="2" applyNumberFormat="1" applyFont="1" applyFill="1" applyBorder="1" applyAlignment="1">
      <alignment horizontal="center" vertical="center"/>
    </xf>
    <xf numFmtId="3" fontId="1" fillId="0" borderId="19" xfId="0" applyNumberFormat="1" applyFont="1" applyBorder="1" applyAlignment="1">
      <alignment horizontal="center" vertical="center"/>
    </xf>
    <xf numFmtId="10" fontId="1" fillId="0" borderId="21" xfId="2" applyNumberFormat="1" applyFont="1" applyFill="1" applyBorder="1" applyAlignment="1">
      <alignment horizontal="center" vertical="center"/>
    </xf>
    <xf numFmtId="0" fontId="1" fillId="8" borderId="66" xfId="0" applyFont="1" applyFill="1" applyBorder="1" applyAlignment="1">
      <alignment horizontal="left" vertical="center"/>
    </xf>
    <xf numFmtId="0" fontId="1" fillId="8" borderId="2" xfId="0" applyFont="1" applyFill="1" applyBorder="1" applyAlignment="1">
      <alignment horizontal="left" vertical="center"/>
    </xf>
    <xf numFmtId="0" fontId="1" fillId="8" borderId="67" xfId="0" applyFont="1" applyFill="1" applyBorder="1" applyAlignment="1">
      <alignment horizontal="left" vertical="center"/>
    </xf>
    <xf numFmtId="4" fontId="1" fillId="10" borderId="61" xfId="1" applyNumberFormat="1" applyFont="1" applyFill="1" applyBorder="1" applyAlignment="1">
      <alignment horizontal="right" vertical="center"/>
    </xf>
    <xf numFmtId="4" fontId="1" fillId="10" borderId="36" xfId="0" applyNumberFormat="1" applyFont="1" applyFill="1" applyBorder="1" applyAlignment="1">
      <alignment horizontal="right" vertical="center"/>
    </xf>
    <xf numFmtId="10" fontId="16" fillId="0" borderId="69" xfId="2" applyNumberFormat="1" applyFont="1" applyBorder="1" applyAlignment="1">
      <alignment vertical="center"/>
    </xf>
    <xf numFmtId="10" fontId="16" fillId="0" borderId="14" xfId="2" applyNumberFormat="1" applyFont="1" applyBorder="1" applyAlignment="1">
      <alignment vertical="center"/>
    </xf>
    <xf numFmtId="10" fontId="16" fillId="0" borderId="70" xfId="2" applyNumberFormat="1" applyFont="1" applyBorder="1" applyAlignment="1">
      <alignment vertical="center"/>
    </xf>
    <xf numFmtId="0" fontId="1" fillId="10" borderId="36" xfId="0" applyFont="1" applyFill="1" applyBorder="1" applyAlignment="1">
      <alignment horizontal="center"/>
    </xf>
    <xf numFmtId="4" fontId="1" fillId="10" borderId="36" xfId="0" applyNumberFormat="1" applyFont="1" applyFill="1" applyBorder="1" applyAlignment="1">
      <alignment horizontal="center"/>
    </xf>
    <xf numFmtId="10" fontId="1" fillId="10" borderId="9" xfId="2" applyNumberFormat="1" applyFont="1" applyFill="1" applyBorder="1" applyAlignment="1">
      <alignment horizontal="center" vertical="center"/>
    </xf>
    <xf numFmtId="0" fontId="1" fillId="0" borderId="38" xfId="0" applyFont="1" applyBorder="1" applyAlignment="1">
      <alignment horizontal="center"/>
    </xf>
    <xf numFmtId="164" fontId="1" fillId="0" borderId="37" xfId="1" applyFont="1" applyFill="1" applyBorder="1" applyAlignment="1">
      <alignment horizontal="center" vertical="center"/>
    </xf>
    <xf numFmtId="10" fontId="15" fillId="0" borderId="72" xfId="2" applyNumberFormat="1" applyFont="1" applyFill="1" applyBorder="1" applyAlignment="1">
      <alignment horizontal="center" vertical="center"/>
    </xf>
    <xf numFmtId="0" fontId="16" fillId="0" borderId="0" xfId="0" applyFont="1" applyAlignment="1">
      <alignment horizontal="left" wrapText="1"/>
    </xf>
    <xf numFmtId="10" fontId="16" fillId="0" borderId="0" xfId="0" applyNumberFormat="1" applyFont="1" applyAlignment="1">
      <alignment horizontal="center" wrapText="1"/>
    </xf>
    <xf numFmtId="0" fontId="0" fillId="0" borderId="0" xfId="0" applyAlignment="1">
      <alignment horizontal="left"/>
    </xf>
    <xf numFmtId="10" fontId="0" fillId="0" borderId="0" xfId="0" applyNumberFormat="1"/>
    <xf numFmtId="0" fontId="1" fillId="0" borderId="11" xfId="0" applyFont="1" applyBorder="1" applyAlignment="1">
      <alignment horizontal="left"/>
    </xf>
    <xf numFmtId="0" fontId="1" fillId="0" borderId="0" xfId="0" applyFont="1" applyAlignment="1">
      <alignment horizontal="left" vertical="top"/>
    </xf>
    <xf numFmtId="0" fontId="1" fillId="10" borderId="3" xfId="0" applyFont="1" applyFill="1" applyBorder="1" applyAlignment="1">
      <alignment vertical="center" wrapText="1"/>
    </xf>
    <xf numFmtId="0" fontId="1" fillId="10" borderId="7" xfId="0" applyFont="1" applyFill="1" applyBorder="1" applyAlignment="1">
      <alignment vertical="center" wrapText="1"/>
    </xf>
    <xf numFmtId="0" fontId="1" fillId="10" borderId="4" xfId="0" applyFont="1" applyFill="1" applyBorder="1" applyAlignment="1">
      <alignment vertical="center" wrapText="1"/>
    </xf>
    <xf numFmtId="0" fontId="1" fillId="10" borderId="1" xfId="0" applyFont="1" applyFill="1" applyBorder="1" applyAlignment="1">
      <alignment vertical="center"/>
    </xf>
    <xf numFmtId="0" fontId="1" fillId="10" borderId="3" xfId="0" applyFont="1" applyFill="1" applyBorder="1" applyAlignment="1">
      <alignment horizontal="left" vertical="center"/>
    </xf>
    <xf numFmtId="0" fontId="1" fillId="10" borderId="7" xfId="0" applyFont="1" applyFill="1" applyBorder="1" applyAlignment="1">
      <alignment horizontal="left" vertical="center"/>
    </xf>
    <xf numFmtId="0" fontId="1" fillId="10" borderId="4" xfId="0" applyFont="1" applyFill="1" applyBorder="1" applyAlignment="1">
      <alignment horizontal="left" vertical="center"/>
    </xf>
    <xf numFmtId="0" fontId="16" fillId="0" borderId="5" xfId="0" applyFont="1" applyBorder="1" applyAlignment="1">
      <alignment horizontal="center" vertical="center"/>
    </xf>
    <xf numFmtId="0" fontId="16" fillId="0" borderId="8" xfId="0" applyFont="1" applyBorder="1" applyAlignment="1">
      <alignment horizontal="center" vertical="center"/>
    </xf>
    <xf numFmtId="0" fontId="32" fillId="0" borderId="4" xfId="0" applyFont="1" applyBorder="1" applyAlignment="1">
      <alignment horizontal="center" vertical="center"/>
    </xf>
    <xf numFmtId="0" fontId="16" fillId="0" borderId="65" xfId="0" applyFont="1" applyBorder="1" applyAlignment="1">
      <alignment horizontal="center" vertical="center"/>
    </xf>
    <xf numFmtId="0" fontId="1" fillId="8" borderId="1" xfId="0" applyFont="1" applyFill="1" applyBorder="1" applyAlignment="1">
      <alignment horizontal="center" vertical="center"/>
    </xf>
    <xf numFmtId="3" fontId="1" fillId="0" borderId="55" xfId="0" applyNumberFormat="1" applyFont="1" applyBorder="1" applyAlignment="1">
      <alignment horizontal="center" vertical="center"/>
    </xf>
    <xf numFmtId="0" fontId="30" fillId="0" borderId="6" xfId="0" applyFont="1" applyBorder="1" applyAlignment="1">
      <alignment horizontal="left" vertical="center"/>
    </xf>
    <xf numFmtId="0" fontId="21" fillId="0" borderId="5" xfId="0" applyFont="1" applyBorder="1" applyAlignment="1">
      <alignment horizontal="center" vertical="center"/>
    </xf>
    <xf numFmtId="0" fontId="16" fillId="0" borderId="27" xfId="0" applyFont="1" applyBorder="1" applyAlignment="1">
      <alignment horizontal="center" vertical="center"/>
    </xf>
    <xf numFmtId="0" fontId="30" fillId="0" borderId="3" xfId="0" applyFont="1" applyBorder="1" applyAlignment="1">
      <alignment horizontal="left" vertical="center" wrapText="1"/>
    </xf>
    <xf numFmtId="0" fontId="15" fillId="0" borderId="47" xfId="0" applyFont="1" applyBorder="1" applyAlignment="1">
      <alignment horizontal="left" vertical="center" wrapText="1"/>
    </xf>
    <xf numFmtId="0" fontId="15" fillId="0" borderId="7" xfId="0" applyFont="1" applyBorder="1" applyAlignment="1">
      <alignment horizontal="left" vertical="center" wrapText="1"/>
    </xf>
    <xf numFmtId="4" fontId="1" fillId="0" borderId="16" xfId="0" applyNumberFormat="1" applyFont="1" applyBorder="1" applyAlignment="1">
      <alignment horizontal="center" vertical="center"/>
    </xf>
    <xf numFmtId="0" fontId="1" fillId="0" borderId="55" xfId="0" applyFont="1" applyBorder="1" applyAlignment="1">
      <alignment horizontal="center" vertical="center"/>
    </xf>
    <xf numFmtId="4" fontId="1" fillId="0" borderId="1" xfId="0" applyNumberFormat="1" applyFont="1" applyBorder="1" applyAlignment="1">
      <alignment horizontal="center" vertical="center"/>
    </xf>
    <xf numFmtId="164" fontId="1" fillId="0" borderId="4" xfId="0" applyNumberFormat="1" applyFont="1" applyBorder="1" applyAlignment="1">
      <alignment horizontal="center" vertical="center"/>
    </xf>
    <xf numFmtId="164" fontId="16" fillId="0" borderId="8" xfId="0" applyNumberFormat="1" applyFont="1" applyBorder="1" applyAlignment="1">
      <alignment horizontal="center" vertical="center"/>
    </xf>
    <xf numFmtId="10" fontId="1" fillId="0" borderId="3" xfId="2" applyNumberFormat="1" applyFont="1" applyFill="1" applyBorder="1" applyAlignment="1">
      <alignment horizontal="center" vertical="center"/>
    </xf>
    <xf numFmtId="10" fontId="16" fillId="0" borderId="6" xfId="2" applyNumberFormat="1" applyFont="1" applyFill="1" applyBorder="1" applyAlignment="1">
      <alignment horizontal="center" vertical="center"/>
    </xf>
    <xf numFmtId="9" fontId="1" fillId="0" borderId="18" xfId="2" applyFont="1" applyFill="1" applyBorder="1" applyAlignment="1">
      <alignment horizontal="center" vertical="center"/>
    </xf>
    <xf numFmtId="10" fontId="1" fillId="0" borderId="17" xfId="2" applyNumberFormat="1" applyFont="1" applyFill="1" applyBorder="1" applyAlignment="1">
      <alignment horizontal="center" vertical="center"/>
    </xf>
    <xf numFmtId="0" fontId="31" fillId="0" borderId="71" xfId="0" applyFont="1" applyBorder="1" applyAlignment="1">
      <alignment vertical="center" wrapText="1"/>
    </xf>
    <xf numFmtId="10" fontId="16" fillId="0" borderId="16" xfId="2" applyNumberFormat="1" applyFont="1" applyFill="1" applyBorder="1" applyAlignment="1">
      <alignment vertical="center"/>
    </xf>
    <xf numFmtId="10" fontId="16" fillId="0" borderId="1" xfId="2" applyNumberFormat="1" applyFont="1" applyFill="1" applyBorder="1" applyAlignment="1">
      <alignment vertical="center"/>
    </xf>
    <xf numFmtId="10" fontId="16" fillId="0" borderId="18" xfId="2" applyNumberFormat="1" applyFont="1" applyFill="1" applyBorder="1" applyAlignment="1">
      <alignment vertical="center"/>
    </xf>
    <xf numFmtId="0" fontId="31" fillId="0" borderId="17" xfId="0" applyFont="1" applyBorder="1" applyAlignment="1">
      <alignment vertical="center" wrapText="1"/>
    </xf>
    <xf numFmtId="0" fontId="1" fillId="8" borderId="55" xfId="0" applyFont="1" applyFill="1" applyBorder="1" applyAlignment="1">
      <alignment horizontal="center" vertical="center" wrapText="1"/>
    </xf>
    <xf numFmtId="164" fontId="15" fillId="0" borderId="13" xfId="0" applyNumberFormat="1" applyFont="1" applyBorder="1"/>
    <xf numFmtId="10" fontId="15" fillId="0" borderId="15" xfId="0" applyNumberFormat="1" applyFont="1" applyBorder="1" applyAlignment="1">
      <alignment horizontal="center" vertical="center"/>
    </xf>
    <xf numFmtId="0" fontId="1" fillId="8" borderId="3" xfId="0" applyFont="1" applyFill="1" applyBorder="1" applyAlignment="1">
      <alignment vertical="center"/>
    </xf>
    <xf numFmtId="0" fontId="1" fillId="8" borderId="7" xfId="0" applyFont="1" applyFill="1" applyBorder="1" applyAlignment="1">
      <alignment vertical="center"/>
    </xf>
    <xf numFmtId="0" fontId="1" fillId="8" borderId="4" xfId="0" applyFont="1" applyFill="1" applyBorder="1" applyAlignment="1">
      <alignment vertical="center"/>
    </xf>
    <xf numFmtId="0" fontId="35" fillId="10" borderId="12" xfId="0" applyFont="1" applyFill="1" applyBorder="1" applyAlignment="1">
      <alignment horizontal="center" vertical="center" wrapText="1"/>
    </xf>
    <xf numFmtId="0" fontId="35" fillId="10" borderId="14" xfId="0" applyFont="1" applyFill="1" applyBorder="1" applyAlignment="1">
      <alignment horizontal="center" vertical="center" wrapText="1"/>
    </xf>
    <xf numFmtId="0" fontId="35" fillId="10" borderId="11" xfId="0" applyFont="1" applyFill="1" applyBorder="1" applyAlignment="1">
      <alignment horizontal="center" vertical="center" wrapText="1"/>
    </xf>
    <xf numFmtId="0" fontId="35" fillId="10" borderId="2" xfId="0" applyFont="1" applyFill="1" applyBorder="1" applyAlignment="1">
      <alignment horizontal="center" vertical="center" wrapText="1"/>
    </xf>
    <xf numFmtId="0" fontId="35" fillId="10" borderId="1" xfId="0" applyFont="1" applyFill="1" applyBorder="1" applyAlignment="1">
      <alignment horizontal="center" vertical="center" wrapText="1"/>
    </xf>
    <xf numFmtId="0" fontId="35" fillId="10" borderId="15" xfId="0" applyFont="1" applyFill="1" applyBorder="1" applyAlignment="1">
      <alignment horizontal="center" vertical="center" wrapText="1"/>
    </xf>
    <xf numFmtId="1" fontId="1" fillId="8" borderId="1" xfId="0" applyNumberFormat="1" applyFont="1" applyFill="1" applyBorder="1" applyAlignment="1">
      <alignment horizontal="center" vertical="center"/>
    </xf>
    <xf numFmtId="1" fontId="1" fillId="0" borderId="1" xfId="0" applyNumberFormat="1" applyFont="1" applyBorder="1" applyAlignment="1">
      <alignment horizontal="center" vertical="center"/>
    </xf>
    <xf numFmtId="1" fontId="1" fillId="0" borderId="16" xfId="0" applyNumberFormat="1" applyFont="1" applyBorder="1" applyAlignment="1">
      <alignment horizontal="center" vertical="center"/>
    </xf>
    <xf numFmtId="0" fontId="31" fillId="8" borderId="70" xfId="0" applyFont="1" applyFill="1" applyBorder="1" applyAlignment="1">
      <alignment vertical="center" wrapText="1"/>
    </xf>
    <xf numFmtId="10" fontId="8" fillId="0" borderId="8" xfId="0" applyNumberFormat="1" applyFont="1" applyBorder="1" applyAlignment="1">
      <alignment horizontal="center" vertical="center" wrapText="1"/>
    </xf>
    <xf numFmtId="10" fontId="8" fillId="0" borderId="13" xfId="2" applyNumberFormat="1" applyFont="1" applyBorder="1" applyAlignment="1">
      <alignment vertical="center" wrapText="1"/>
    </xf>
    <xf numFmtId="14" fontId="8" fillId="0" borderId="13" xfId="0" applyNumberFormat="1" applyFont="1" applyBorder="1" applyAlignment="1">
      <alignment vertical="center" wrapText="1"/>
    </xf>
    <xf numFmtId="0" fontId="8" fillId="0" borderId="6" xfId="0" applyFont="1" applyBorder="1" applyAlignment="1">
      <alignment horizontal="center" vertical="center" wrapText="1"/>
    </xf>
    <xf numFmtId="4" fontId="0" fillId="0" borderId="0" xfId="0" applyNumberFormat="1"/>
    <xf numFmtId="0" fontId="31" fillId="8" borderId="0" xfId="0" applyFont="1" applyFill="1" applyAlignment="1">
      <alignment vertical="center" wrapText="1"/>
    </xf>
    <xf numFmtId="1" fontId="16" fillId="0" borderId="43" xfId="0" applyNumberFormat="1" applyFont="1" applyBorder="1" applyAlignment="1">
      <alignment horizontal="center" wrapText="1"/>
    </xf>
    <xf numFmtId="0" fontId="0" fillId="0" borderId="1" xfId="0" applyBorder="1"/>
    <xf numFmtId="0" fontId="0" fillId="0" borderId="9" xfId="0" applyBorder="1"/>
    <xf numFmtId="0" fontId="0" fillId="0" borderId="6" xfId="0" applyBorder="1"/>
    <xf numFmtId="2" fontId="1" fillId="0" borderId="1" xfId="0" applyNumberFormat="1" applyFont="1" applyBorder="1" applyAlignment="1">
      <alignment horizontal="center" vertical="center"/>
    </xf>
    <xf numFmtId="2" fontId="15" fillId="0" borderId="8" xfId="0" applyNumberFormat="1" applyFont="1" applyBorder="1" applyAlignment="1">
      <alignment horizontal="center"/>
    </xf>
    <xf numFmtId="2" fontId="8" fillId="0" borderId="4" xfId="0" applyNumberFormat="1" applyFont="1" applyBorder="1" applyAlignment="1">
      <alignment horizontal="center"/>
    </xf>
    <xf numFmtId="10" fontId="16" fillId="0" borderId="43" xfId="0" applyNumberFormat="1" applyFont="1" applyBorder="1" applyAlignment="1">
      <alignment horizontal="center" wrapText="1"/>
    </xf>
    <xf numFmtId="3" fontId="0" fillId="0" borderId="0" xfId="0" applyNumberFormat="1"/>
    <xf numFmtId="0" fontId="31" fillId="4" borderId="60" xfId="0" applyFont="1" applyFill="1" applyBorder="1" applyAlignment="1">
      <alignment horizontal="left" vertical="center" wrapText="1"/>
    </xf>
    <xf numFmtId="0" fontId="31" fillId="4" borderId="60" xfId="0" applyFont="1" applyFill="1" applyBorder="1" applyAlignment="1">
      <alignment horizontal="center" vertical="center" wrapText="1"/>
    </xf>
    <xf numFmtId="0" fontId="31" fillId="0" borderId="13" xfId="0" applyFont="1" applyBorder="1" applyAlignment="1">
      <alignment horizontal="left"/>
    </xf>
    <xf numFmtId="164" fontId="31" fillId="0" borderId="13" xfId="0" applyNumberFormat="1" applyFont="1" applyBorder="1"/>
    <xf numFmtId="10" fontId="31" fillId="0" borderId="13" xfId="0" applyNumberFormat="1" applyFont="1" applyBorder="1"/>
    <xf numFmtId="0" fontId="31" fillId="0" borderId="1" xfId="0" applyFont="1" applyBorder="1" applyAlignment="1">
      <alignment horizontal="left"/>
    </xf>
    <xf numFmtId="10" fontId="31" fillId="0" borderId="1" xfId="0" applyNumberFormat="1" applyFont="1" applyBorder="1"/>
    <xf numFmtId="164" fontId="13" fillId="0" borderId="1" xfId="1" applyFont="1" applyFill="1" applyBorder="1" applyAlignment="1">
      <alignment vertical="center"/>
    </xf>
    <xf numFmtId="0" fontId="36" fillId="0" borderId="1" xfId="0" applyFont="1" applyBorder="1" applyAlignment="1">
      <alignment wrapText="1"/>
    </xf>
    <xf numFmtId="0" fontId="0" fillId="0" borderId="9" xfId="0" applyBorder="1" applyAlignment="1">
      <alignment horizontal="left"/>
    </xf>
    <xf numFmtId="0" fontId="37" fillId="0" borderId="1" xfId="0" applyFont="1" applyBorder="1" applyAlignment="1">
      <alignment vertical="center" wrapText="1"/>
    </xf>
    <xf numFmtId="0" fontId="15" fillId="0" borderId="1" xfId="0" applyFont="1" applyBorder="1" applyAlignment="1">
      <alignment vertical="center"/>
    </xf>
    <xf numFmtId="0" fontId="14" fillId="0" borderId="1" xfId="0" applyFont="1" applyBorder="1"/>
    <xf numFmtId="4" fontId="1" fillId="8" borderId="16" xfId="0" applyNumberFormat="1" applyFont="1" applyFill="1" applyBorder="1" applyAlignment="1">
      <alignment horizontal="right" vertical="center"/>
    </xf>
    <xf numFmtId="4" fontId="1" fillId="0" borderId="16" xfId="0" applyNumberFormat="1" applyFont="1" applyBorder="1" applyAlignment="1">
      <alignment horizontal="right" vertical="center"/>
    </xf>
    <xf numFmtId="4" fontId="1" fillId="8" borderId="25" xfId="0" applyNumberFormat="1" applyFont="1" applyFill="1" applyBorder="1" applyAlignment="1">
      <alignment horizontal="right" vertical="center"/>
    </xf>
    <xf numFmtId="0" fontId="1" fillId="0" borderId="16" xfId="0" applyFont="1" applyBorder="1" applyAlignment="1">
      <alignment horizontal="right" vertical="center"/>
    </xf>
    <xf numFmtId="4" fontId="16" fillId="0" borderId="43" xfId="0" applyNumberFormat="1" applyFont="1" applyBorder="1" applyAlignment="1">
      <alignment horizontal="right" wrapText="1"/>
    </xf>
    <xf numFmtId="0" fontId="31" fillId="0" borderId="3" xfId="0" applyFont="1" applyBorder="1" applyAlignment="1">
      <alignment horizontal="left"/>
    </xf>
    <xf numFmtId="10" fontId="31" fillId="0" borderId="7" xfId="0" applyNumberFormat="1" applyFont="1" applyBorder="1"/>
    <xf numFmtId="3" fontId="1" fillId="0" borderId="16" xfId="0" applyNumberFormat="1" applyFont="1" applyBorder="1" applyAlignment="1">
      <alignment horizontal="center"/>
    </xf>
    <xf numFmtId="165" fontId="1" fillId="0" borderId="18" xfId="2" applyNumberFormat="1" applyFont="1" applyFill="1" applyBorder="1" applyAlignment="1">
      <alignment horizontal="center"/>
    </xf>
    <xf numFmtId="10" fontId="1" fillId="0" borderId="18" xfId="2" applyNumberFormat="1" applyFont="1" applyFill="1" applyBorder="1" applyAlignment="1">
      <alignment horizontal="center"/>
    </xf>
    <xf numFmtId="3" fontId="16" fillId="0" borderId="43" xfId="0" applyNumberFormat="1" applyFont="1" applyBorder="1" applyAlignment="1">
      <alignment horizontal="center" wrapText="1"/>
    </xf>
    <xf numFmtId="10" fontId="16" fillId="0" borderId="43" xfId="2" applyNumberFormat="1" applyFont="1" applyBorder="1" applyAlignment="1">
      <alignment horizontal="center" wrapText="1"/>
    </xf>
    <xf numFmtId="0" fontId="8" fillId="0" borderId="73" xfId="0" applyFont="1" applyBorder="1"/>
    <xf numFmtId="0" fontId="8" fillId="0" borderId="74" xfId="0" applyFont="1" applyBorder="1" applyAlignment="1">
      <alignment horizontal="center" vertical="center"/>
    </xf>
    <xf numFmtId="0" fontId="8" fillId="0" borderId="74" xfId="0" applyFont="1" applyBorder="1" applyAlignment="1">
      <alignment horizontal="center" vertical="center" wrapText="1"/>
    </xf>
    <xf numFmtId="2" fontId="8" fillId="0" borderId="75" xfId="0" applyNumberFormat="1" applyFont="1" applyBorder="1" applyAlignment="1">
      <alignment vertical="center" wrapText="1"/>
    </xf>
    <xf numFmtId="2" fontId="8" fillId="0" borderId="74" xfId="0" applyNumberFormat="1" applyFont="1" applyBorder="1" applyAlignment="1">
      <alignment vertical="center" wrapText="1"/>
    </xf>
    <xf numFmtId="2" fontId="8" fillId="0" borderId="75" xfId="0" applyNumberFormat="1" applyFont="1" applyBorder="1" applyAlignment="1">
      <alignment horizontal="center"/>
    </xf>
    <xf numFmtId="0" fontId="8" fillId="0" borderId="74" xfId="0" applyFont="1" applyBorder="1" applyAlignment="1">
      <alignment horizontal="center"/>
    </xf>
    <xf numFmtId="0" fontId="8" fillId="0" borderId="75" xfId="0" applyFont="1" applyBorder="1" applyAlignment="1">
      <alignment wrapText="1"/>
    </xf>
    <xf numFmtId="0" fontId="8" fillId="0" borderId="74" xfId="0" applyFont="1" applyBorder="1" applyAlignment="1">
      <alignment wrapText="1"/>
    </xf>
    <xf numFmtId="3" fontId="8" fillId="0" borderId="74" xfId="0" applyNumberFormat="1" applyFont="1" applyBorder="1" applyAlignment="1">
      <alignment horizontal="center" vertical="center"/>
    </xf>
    <xf numFmtId="3" fontId="1" fillId="10" borderId="1" xfId="0" applyNumberFormat="1" applyFont="1" applyFill="1" applyBorder="1" applyAlignment="1">
      <alignment horizontal="center" vertical="center"/>
    </xf>
    <xf numFmtId="3" fontId="1" fillId="10" borderId="1" xfId="0" applyNumberFormat="1" applyFont="1" applyFill="1" applyBorder="1" applyAlignment="1">
      <alignment vertical="center"/>
    </xf>
    <xf numFmtId="3" fontId="15" fillId="0" borderId="8" xfId="0" applyNumberFormat="1" applyFont="1" applyBorder="1" applyAlignment="1">
      <alignment horizontal="center"/>
    </xf>
    <xf numFmtId="3" fontId="15" fillId="0" borderId="13" xfId="0" applyNumberFormat="1" applyFont="1" applyBorder="1" applyAlignment="1">
      <alignment horizontal="center"/>
    </xf>
    <xf numFmtId="3" fontId="1" fillId="8" borderId="1" xfId="0" applyNumberFormat="1" applyFont="1" applyFill="1" applyBorder="1" applyAlignment="1">
      <alignment horizontal="center" vertical="center"/>
    </xf>
    <xf numFmtId="0" fontId="16" fillId="0" borderId="0" xfId="0" applyFont="1" applyAlignment="1">
      <alignment wrapText="1"/>
    </xf>
    <xf numFmtId="4" fontId="16" fillId="0" borderId="0" xfId="0" applyNumberFormat="1" applyFont="1" applyAlignment="1">
      <alignment wrapText="1"/>
    </xf>
    <xf numFmtId="3" fontId="16" fillId="0" borderId="0" xfId="0" applyNumberFormat="1" applyFont="1" applyAlignment="1">
      <alignment horizontal="center" wrapText="1"/>
    </xf>
    <xf numFmtId="4" fontId="16" fillId="0" borderId="0" xfId="0" applyNumberFormat="1" applyFont="1" applyAlignment="1">
      <alignment horizontal="right" wrapText="1"/>
    </xf>
    <xf numFmtId="10" fontId="15" fillId="0" borderId="0" xfId="2" applyNumberFormat="1" applyFont="1" applyFill="1" applyBorder="1" applyAlignment="1">
      <alignment horizontal="center" vertical="center"/>
    </xf>
    <xf numFmtId="10" fontId="16" fillId="0" borderId="0" xfId="2" applyNumberFormat="1" applyFont="1" applyBorder="1" applyAlignment="1">
      <alignment horizontal="center" wrapText="1"/>
    </xf>
    <xf numFmtId="164" fontId="16" fillId="0" borderId="0" xfId="0" applyNumberFormat="1" applyFont="1" applyAlignment="1">
      <alignment wrapText="1"/>
    </xf>
    <xf numFmtId="10" fontId="16" fillId="0" borderId="0" xfId="0" applyNumberFormat="1" applyFont="1" applyAlignment="1">
      <alignment wrapText="1"/>
    </xf>
    <xf numFmtId="3" fontId="1" fillId="0" borderId="4" xfId="0" applyNumberFormat="1" applyFont="1" applyBorder="1" applyAlignment="1">
      <alignment horizontal="center" vertical="center"/>
    </xf>
    <xf numFmtId="10" fontId="15" fillId="0" borderId="3" xfId="2" applyNumberFormat="1" applyFont="1" applyFill="1" applyBorder="1" applyAlignment="1">
      <alignment horizontal="center" vertical="center"/>
    </xf>
    <xf numFmtId="0" fontId="14" fillId="0" borderId="9" xfId="0" applyFont="1" applyBorder="1" applyAlignment="1">
      <alignment horizontal="right"/>
    </xf>
    <xf numFmtId="14" fontId="3" fillId="12" borderId="0" xfId="0" applyNumberFormat="1" applyFont="1" applyFill="1"/>
    <xf numFmtId="9" fontId="1" fillId="0" borderId="1" xfId="2" applyFont="1" applyBorder="1" applyAlignment="1">
      <alignment horizontal="center" vertical="center"/>
    </xf>
    <xf numFmtId="9" fontId="1" fillId="0" borderId="18" xfId="2" applyFont="1" applyFill="1" applyBorder="1" applyAlignment="1">
      <alignment horizontal="center"/>
    </xf>
    <xf numFmtId="3" fontId="1" fillId="12" borderId="16" xfId="0" applyNumberFormat="1" applyFont="1" applyFill="1" applyBorder="1" applyAlignment="1">
      <alignment horizontal="center"/>
    </xf>
    <xf numFmtId="9" fontId="1" fillId="12" borderId="18" xfId="2" applyFont="1" applyFill="1" applyBorder="1" applyAlignment="1">
      <alignment horizontal="center"/>
    </xf>
    <xf numFmtId="0" fontId="36" fillId="0" borderId="73" xfId="0" applyFont="1" applyBorder="1" applyAlignment="1">
      <alignment horizontal="center" wrapText="1"/>
    </xf>
    <xf numFmtId="1" fontId="8" fillId="0" borderId="74" xfId="0" applyNumberFormat="1" applyFont="1" applyBorder="1" applyAlignment="1">
      <alignment horizontal="center" vertical="center"/>
    </xf>
    <xf numFmtId="164" fontId="13" fillId="12" borderId="1" xfId="1" applyFont="1" applyFill="1" applyBorder="1" applyAlignment="1">
      <alignment vertical="center"/>
    </xf>
    <xf numFmtId="4" fontId="1" fillId="12" borderId="1" xfId="0" applyNumberFormat="1" applyFont="1" applyFill="1" applyBorder="1" applyAlignment="1">
      <alignment horizontal="right" vertical="center"/>
    </xf>
    <xf numFmtId="4" fontId="0" fillId="12" borderId="0" xfId="0" applyNumberFormat="1" applyFill="1"/>
    <xf numFmtId="0" fontId="0" fillId="12" borderId="0" xfId="0" applyFill="1"/>
    <xf numFmtId="0" fontId="1" fillId="12" borderId="14" xfId="0" applyFont="1" applyFill="1" applyBorder="1" applyAlignment="1">
      <alignment vertical="center" wrapText="1"/>
    </xf>
    <xf numFmtId="4" fontId="1" fillId="12" borderId="14" xfId="0" applyNumberFormat="1" applyFont="1" applyFill="1" applyBorder="1" applyAlignment="1">
      <alignment vertical="center" wrapText="1"/>
    </xf>
    <xf numFmtId="4" fontId="0" fillId="12" borderId="10" xfId="0" applyNumberFormat="1" applyFill="1" applyBorder="1"/>
    <xf numFmtId="4" fontId="0" fillId="12" borderId="15" xfId="0" applyNumberFormat="1" applyFill="1" applyBorder="1" applyAlignment="1">
      <alignment vertical="center" wrapText="1"/>
    </xf>
    <xf numFmtId="4" fontId="0" fillId="12" borderId="15" xfId="0" applyNumberFormat="1" applyFill="1" applyBorder="1"/>
    <xf numFmtId="4" fontId="14" fillId="12" borderId="8" xfId="0" applyNumberFormat="1" applyFont="1" applyFill="1" applyBorder="1"/>
    <xf numFmtId="4" fontId="14" fillId="12" borderId="13" xfId="0" applyNumberFormat="1" applyFont="1" applyFill="1" applyBorder="1"/>
    <xf numFmtId="0" fontId="1" fillId="12" borderId="14" xfId="0" applyFont="1" applyFill="1" applyBorder="1" applyAlignment="1">
      <alignment vertical="center"/>
    </xf>
    <xf numFmtId="4" fontId="1" fillId="12" borderId="14" xfId="0" applyNumberFormat="1" applyFont="1" applyFill="1" applyBorder="1" applyAlignment="1">
      <alignment vertical="center"/>
    </xf>
    <xf numFmtId="4" fontId="0" fillId="12" borderId="12" xfId="0" applyNumberFormat="1" applyFill="1" applyBorder="1"/>
    <xf numFmtId="4" fontId="14" fillId="12" borderId="12" xfId="0" applyNumberFormat="1" applyFont="1" applyFill="1" applyBorder="1"/>
    <xf numFmtId="4" fontId="0" fillId="12" borderId="14" xfId="0" applyNumberFormat="1" applyFill="1" applyBorder="1"/>
    <xf numFmtId="4" fontId="0" fillId="12" borderId="1" xfId="0" applyNumberFormat="1" applyFill="1" applyBorder="1"/>
    <xf numFmtId="4" fontId="14" fillId="12" borderId="1" xfId="0" applyNumberFormat="1" applyFont="1" applyFill="1" applyBorder="1"/>
    <xf numFmtId="4" fontId="14" fillId="12" borderId="0" xfId="0" applyNumberFormat="1" applyFont="1" applyFill="1"/>
    <xf numFmtId="4" fontId="14" fillId="12" borderId="10" xfId="0" applyNumberFormat="1" applyFont="1" applyFill="1" applyBorder="1"/>
    <xf numFmtId="4" fontId="14" fillId="12" borderId="15" xfId="0" applyNumberFormat="1" applyFont="1" applyFill="1" applyBorder="1"/>
    <xf numFmtId="4" fontId="1" fillId="10" borderId="13" xfId="0" applyNumberFormat="1" applyFont="1" applyFill="1" applyBorder="1" applyAlignment="1">
      <alignment horizontal="right" vertical="center"/>
    </xf>
    <xf numFmtId="0" fontId="1" fillId="0" borderId="1" xfId="0" applyFont="1" applyBorder="1" applyAlignment="1">
      <alignment horizontal="right" vertical="center"/>
    </xf>
    <xf numFmtId="3" fontId="1" fillId="0" borderId="0" xfId="0" applyNumberFormat="1" applyFont="1"/>
    <xf numFmtId="0" fontId="8" fillId="12" borderId="0" xfId="0" applyFont="1" applyFill="1" applyAlignment="1">
      <alignment vertical="center"/>
    </xf>
    <xf numFmtId="4" fontId="39" fillId="12" borderId="0" xfId="0" applyNumberFormat="1" applyFont="1" applyFill="1" applyAlignment="1">
      <alignment horizontal="center"/>
    </xf>
    <xf numFmtId="14" fontId="1" fillId="0" borderId="1" xfId="0" applyNumberFormat="1" applyFont="1" applyBorder="1" applyAlignment="1">
      <alignment vertical="center"/>
    </xf>
    <xf numFmtId="10" fontId="8" fillId="0" borderId="8" xfId="2" applyNumberFormat="1" applyFont="1" applyBorder="1" applyAlignment="1">
      <alignment horizontal="center" vertical="center" wrapText="1"/>
    </xf>
    <xf numFmtId="9" fontId="1" fillId="0" borderId="13" xfId="0" applyNumberFormat="1" applyFont="1" applyBorder="1" applyAlignment="1">
      <alignment horizontal="center" vertical="center"/>
    </xf>
    <xf numFmtId="9" fontId="1" fillId="12" borderId="13" xfId="0" applyNumberFormat="1" applyFont="1" applyFill="1" applyBorder="1" applyAlignment="1">
      <alignment horizontal="center" vertical="center"/>
    </xf>
    <xf numFmtId="14" fontId="8" fillId="0" borderId="6" xfId="0" applyNumberFormat="1" applyFont="1" applyBorder="1" applyAlignment="1">
      <alignment horizontal="center" vertical="center" wrapText="1"/>
    </xf>
    <xf numFmtId="0" fontId="8" fillId="0" borderId="0" xfId="0" applyFont="1" applyAlignment="1">
      <alignment vertical="center" wrapText="1"/>
    </xf>
    <xf numFmtId="3" fontId="8" fillId="0" borderId="74" xfId="0" applyNumberFormat="1" applyFont="1" applyBorder="1" applyAlignment="1">
      <alignment horizontal="center" vertical="center" wrapText="1"/>
    </xf>
    <xf numFmtId="4" fontId="0" fillId="13" borderId="15" xfId="0" applyNumberFormat="1" applyFill="1" applyBorder="1"/>
    <xf numFmtId="4" fontId="0" fillId="13" borderId="13" xfId="0" applyNumberFormat="1" applyFill="1" applyBorder="1"/>
    <xf numFmtId="4" fontId="40" fillId="12" borderId="0" xfId="0" applyNumberFormat="1" applyFont="1" applyFill="1"/>
    <xf numFmtId="4" fontId="0" fillId="14" borderId="10" xfId="0" applyNumberFormat="1" applyFill="1" applyBorder="1"/>
    <xf numFmtId="4" fontId="0" fillId="14" borderId="0" xfId="0" applyNumberFormat="1" applyFill="1"/>
    <xf numFmtId="4" fontId="0" fillId="11" borderId="10" xfId="0" applyNumberFormat="1" applyFill="1" applyBorder="1"/>
    <xf numFmtId="4" fontId="0" fillId="11" borderId="0" xfId="0" applyNumberFormat="1" applyFill="1"/>
    <xf numFmtId="4" fontId="0" fillId="9" borderId="8" xfId="0" applyNumberFormat="1" applyFill="1" applyBorder="1"/>
    <xf numFmtId="4" fontId="0" fillId="8" borderId="10" xfId="0" applyNumberFormat="1" applyFill="1" applyBorder="1"/>
    <xf numFmtId="0" fontId="1" fillId="0" borderId="6" xfId="0" applyFont="1" applyBorder="1" applyAlignment="1">
      <alignment horizontal="center"/>
    </xf>
    <xf numFmtId="0" fontId="1" fillId="0" borderId="5" xfId="0" applyFont="1" applyBorder="1" applyAlignment="1">
      <alignment horizontal="center"/>
    </xf>
    <xf numFmtId="0" fontId="1" fillId="0" borderId="8" xfId="0" applyFont="1" applyBorder="1" applyAlignment="1">
      <alignment horizontal="center"/>
    </xf>
    <xf numFmtId="0" fontId="7" fillId="3" borderId="6" xfId="0" applyFont="1" applyFill="1" applyBorder="1" applyAlignment="1">
      <alignment horizontal="center"/>
    </xf>
    <xf numFmtId="0" fontId="7" fillId="3" borderId="5" xfId="0" applyFont="1" applyFill="1" applyBorder="1" applyAlignment="1">
      <alignment horizontal="center"/>
    </xf>
    <xf numFmtId="0" fontId="7" fillId="3" borderId="8" xfId="0" applyFont="1" applyFill="1" applyBorder="1" applyAlignment="1">
      <alignment horizontal="center"/>
    </xf>
    <xf numFmtId="0" fontId="8" fillId="0" borderId="11" xfId="0" applyFont="1" applyBorder="1" applyAlignment="1">
      <alignment horizontal="center" wrapText="1"/>
    </xf>
    <xf numFmtId="0" fontId="8" fillId="0" borderId="2" xfId="0" applyFont="1" applyBorder="1" applyAlignment="1">
      <alignment horizontal="center"/>
    </xf>
    <xf numFmtId="0" fontId="8" fillId="0" borderId="12" xfId="0" applyFont="1" applyBorder="1" applyAlignment="1">
      <alignment horizontal="center"/>
    </xf>
    <xf numFmtId="0" fontId="8" fillId="0" borderId="11" xfId="0" applyFont="1" applyBorder="1" applyAlignment="1">
      <alignment horizontal="center"/>
    </xf>
    <xf numFmtId="0" fontId="8" fillId="6" borderId="3" xfId="0" applyFont="1" applyFill="1" applyBorder="1" applyAlignment="1">
      <alignment horizontal="center" vertical="center"/>
    </xf>
    <xf numFmtId="0" fontId="8" fillId="6" borderId="7" xfId="0" applyFont="1" applyFill="1" applyBorder="1" applyAlignment="1">
      <alignment horizontal="center" vertical="center"/>
    </xf>
    <xf numFmtId="0" fontId="8" fillId="6" borderId="4" xfId="0" applyFont="1" applyFill="1" applyBorder="1" applyAlignment="1">
      <alignment horizontal="center" vertical="center"/>
    </xf>
    <xf numFmtId="0" fontId="8" fillId="6" borderId="1" xfId="0" applyFont="1" applyFill="1" applyBorder="1" applyAlignment="1">
      <alignment horizontal="center" vertical="center"/>
    </xf>
    <xf numFmtId="2" fontId="8" fillId="0" borderId="3" xfId="0" applyNumberFormat="1" applyFont="1" applyBorder="1" applyAlignment="1">
      <alignment horizontal="center" vertical="center"/>
    </xf>
    <xf numFmtId="2" fontId="8" fillId="0" borderId="7" xfId="0" applyNumberFormat="1" applyFont="1" applyBorder="1" applyAlignment="1">
      <alignment horizontal="center" vertical="center"/>
    </xf>
    <xf numFmtId="2" fontId="8" fillId="0" borderId="4" xfId="0" applyNumberFormat="1" applyFont="1" applyBorder="1" applyAlignment="1">
      <alignment horizontal="center" vertical="center"/>
    </xf>
    <xf numFmtId="10" fontId="8" fillId="0" borderId="1" xfId="0" applyNumberFormat="1" applyFont="1" applyBorder="1" applyAlignment="1">
      <alignment horizontal="center" vertical="center"/>
    </xf>
    <xf numFmtId="10" fontId="8" fillId="0" borderId="3" xfId="0" applyNumberFormat="1"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9" xfId="0" applyFont="1" applyBorder="1" applyAlignment="1">
      <alignment horizontal="left" vertical="top" wrapText="1"/>
    </xf>
    <xf numFmtId="0" fontId="8" fillId="0" borderId="0" xfId="0" applyFont="1" applyAlignment="1">
      <alignment horizontal="left" vertical="top" wrapText="1"/>
    </xf>
    <xf numFmtId="0" fontId="8" fillId="0" borderId="10" xfId="0" applyFont="1" applyBorder="1" applyAlignment="1">
      <alignment horizontal="left" vertical="top" wrapText="1"/>
    </xf>
    <xf numFmtId="0" fontId="8" fillId="0" borderId="6" xfId="0" applyFont="1" applyBorder="1" applyAlignment="1">
      <alignment horizontal="left" vertical="top" wrapText="1"/>
    </xf>
    <xf numFmtId="0" fontId="8" fillId="0" borderId="5" xfId="0" applyFont="1" applyBorder="1" applyAlignment="1">
      <alignment horizontal="left" vertical="top" wrapText="1"/>
    </xf>
    <xf numFmtId="0" fontId="8" fillId="0" borderId="8" xfId="0" applyFont="1" applyBorder="1" applyAlignment="1">
      <alignment horizontal="left" vertical="top" wrapText="1"/>
    </xf>
    <xf numFmtId="4" fontId="8" fillId="0" borderId="3" xfId="0" applyNumberFormat="1" applyFont="1" applyBorder="1" applyAlignment="1">
      <alignment horizontal="center" vertical="center"/>
    </xf>
    <xf numFmtId="4" fontId="8" fillId="0" borderId="7" xfId="0" applyNumberFormat="1" applyFont="1" applyBorder="1" applyAlignment="1">
      <alignment horizontal="center" vertical="center"/>
    </xf>
    <xf numFmtId="4" fontId="8" fillId="0" borderId="4" xfId="0" applyNumberFormat="1" applyFont="1" applyBorder="1" applyAlignment="1">
      <alignment horizontal="center" vertical="center"/>
    </xf>
    <xf numFmtId="10" fontId="8" fillId="0" borderId="7" xfId="0" applyNumberFormat="1" applyFont="1" applyBorder="1" applyAlignment="1">
      <alignment horizontal="center" vertical="center"/>
    </xf>
    <xf numFmtId="10" fontId="8" fillId="0" borderId="4" xfId="0" applyNumberFormat="1" applyFont="1" applyBorder="1" applyAlignment="1">
      <alignment horizontal="center" vertical="center"/>
    </xf>
    <xf numFmtId="0" fontId="8" fillId="7" borderId="11"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8" fillId="7" borderId="6"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wrapText="1"/>
    </xf>
    <xf numFmtId="0" fontId="17" fillId="2" borderId="0" xfId="0" applyFont="1" applyFill="1" applyAlignment="1">
      <alignment horizontal="center"/>
    </xf>
    <xf numFmtId="0" fontId="11" fillId="3" borderId="0" xfId="0" applyFont="1" applyFill="1" applyAlignment="1">
      <alignment horizontal="center"/>
    </xf>
    <xf numFmtId="0" fontId="6" fillId="0" borderId="0" xfId="0" applyFont="1" applyAlignment="1">
      <alignment horizontal="right"/>
    </xf>
    <xf numFmtId="0" fontId="6" fillId="0" borderId="0" xfId="0" applyFont="1" applyAlignment="1">
      <alignment horizontal="right" vertical="top"/>
    </xf>
    <xf numFmtId="0" fontId="5" fillId="0" borderId="0" xfId="0" applyFont="1" applyAlignment="1">
      <alignment horizontal="left" vertical="top" wrapText="1"/>
    </xf>
    <xf numFmtId="0" fontId="8" fillId="0" borderId="7" xfId="0" applyFont="1" applyBorder="1" applyAlignment="1">
      <alignment horizontal="center" vertical="center" wrapText="1"/>
    </xf>
    <xf numFmtId="0" fontId="8" fillId="0" borderId="4" xfId="0" applyFont="1" applyBorder="1" applyAlignment="1">
      <alignment horizontal="center" vertical="center" wrapText="1"/>
    </xf>
    <xf numFmtId="0" fontId="1" fillId="0" borderId="3" xfId="0" applyFont="1" applyBorder="1" applyAlignment="1">
      <alignment horizontal="left" vertical="center"/>
    </xf>
    <xf numFmtId="0" fontId="1" fillId="0" borderId="7" xfId="0" applyFont="1" applyBorder="1" applyAlignment="1">
      <alignment horizontal="left" vertical="center"/>
    </xf>
    <xf numFmtId="0" fontId="1" fillId="0" borderId="4" xfId="0" applyFont="1" applyBorder="1" applyAlignment="1">
      <alignment horizontal="left" vertical="center"/>
    </xf>
    <xf numFmtId="0" fontId="1" fillId="0" borderId="1" xfId="0" applyFont="1" applyBorder="1" applyAlignment="1">
      <alignment vertical="center" wrapText="1"/>
    </xf>
    <xf numFmtId="0" fontId="1" fillId="0" borderId="3" xfId="0" applyFont="1" applyBorder="1" applyAlignment="1">
      <alignment horizontal="left" vertical="center" wrapText="1"/>
    </xf>
    <xf numFmtId="0" fontId="1" fillId="0" borderId="7" xfId="0" applyFont="1" applyBorder="1" applyAlignment="1">
      <alignment horizontal="left" vertical="center" wrapText="1"/>
    </xf>
    <xf numFmtId="0" fontId="1" fillId="0" borderId="4" xfId="0" applyFont="1" applyBorder="1" applyAlignment="1">
      <alignment horizontal="left"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3" xfId="0" applyFont="1" applyBorder="1" applyAlignment="1">
      <alignment vertical="center"/>
    </xf>
    <xf numFmtId="0" fontId="1" fillId="0" borderId="7" xfId="0" applyFont="1" applyBorder="1" applyAlignment="1">
      <alignment vertical="center"/>
    </xf>
    <xf numFmtId="0" fontId="1" fillId="0" borderId="4" xfId="0" applyFont="1" applyBorder="1" applyAlignment="1">
      <alignment vertical="center"/>
    </xf>
    <xf numFmtId="0" fontId="1" fillId="0" borderId="3" xfId="0" applyFont="1" applyBorder="1" applyAlignment="1">
      <alignment vertical="center" wrapText="1"/>
    </xf>
    <xf numFmtId="0" fontId="1" fillId="0" borderId="7" xfId="0" applyFont="1" applyBorder="1" applyAlignment="1">
      <alignment vertical="center" wrapText="1"/>
    </xf>
    <xf numFmtId="0" fontId="1" fillId="0" borderId="4" xfId="0" applyFont="1" applyBorder="1" applyAlignment="1">
      <alignment vertical="center" wrapText="1"/>
    </xf>
    <xf numFmtId="0" fontId="1" fillId="0" borderId="13" xfId="0" applyFont="1" applyBorder="1" applyAlignment="1">
      <alignment horizontal="center" vertical="center" wrapText="1"/>
    </xf>
    <xf numFmtId="0" fontId="1" fillId="0" borderId="1" xfId="0" applyFont="1" applyBorder="1" applyAlignment="1">
      <alignment vertical="center"/>
    </xf>
    <xf numFmtId="2" fontId="8" fillId="0" borderId="75" xfId="0" applyNumberFormat="1" applyFont="1" applyBorder="1" applyAlignment="1">
      <alignment horizontal="center" vertical="center" wrapText="1"/>
    </xf>
    <xf numFmtId="2" fontId="8" fillId="0" borderId="74" xfId="0" applyNumberFormat="1" applyFont="1" applyBorder="1" applyAlignment="1">
      <alignment horizontal="center" vertical="center" wrapText="1"/>
    </xf>
    <xf numFmtId="3" fontId="8" fillId="0" borderId="74" xfId="0" applyNumberFormat="1" applyFont="1" applyBorder="1" applyAlignment="1">
      <alignment horizontal="center" vertical="center"/>
    </xf>
    <xf numFmtId="0" fontId="8" fillId="0" borderId="74" xfId="0" applyFont="1" applyBorder="1" applyAlignment="1">
      <alignment horizontal="center" vertical="center"/>
    </xf>
    <xf numFmtId="2" fontId="8" fillId="0" borderId="74" xfId="0" applyNumberFormat="1" applyFont="1" applyBorder="1" applyAlignment="1">
      <alignment horizontal="left" wrapText="1"/>
    </xf>
    <xf numFmtId="0" fontId="8" fillId="0" borderId="0" xfId="0" applyFont="1" applyAlignment="1">
      <alignment horizontal="left" wrapText="1"/>
    </xf>
    <xf numFmtId="0" fontId="8" fillId="7" borderId="3"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4" xfId="0" applyFont="1" applyFill="1" applyBorder="1" applyAlignment="1">
      <alignment horizontal="center" vertical="center" wrapText="1"/>
    </xf>
    <xf numFmtId="2" fontId="8" fillId="0" borderId="74" xfId="0" applyNumberFormat="1" applyFont="1" applyBorder="1" applyAlignment="1">
      <alignment horizontal="left"/>
    </xf>
    <xf numFmtId="0" fontId="8" fillId="0" borderId="0" xfId="0" applyFont="1" applyAlignment="1">
      <alignment horizontal="center"/>
    </xf>
    <xf numFmtId="1" fontId="8" fillId="0" borderId="74" xfId="0" applyNumberFormat="1" applyFont="1" applyBorder="1" applyAlignment="1">
      <alignment horizontal="center" vertical="center"/>
    </xf>
    <xf numFmtId="0" fontId="8" fillId="0" borderId="74" xfId="0" applyFont="1" applyBorder="1" applyAlignment="1">
      <alignment horizontal="center" vertical="center" wrapText="1"/>
    </xf>
    <xf numFmtId="0" fontId="10" fillId="0" borderId="3" xfId="0" applyFont="1" applyBorder="1" applyAlignment="1">
      <alignment horizontal="center"/>
    </xf>
    <xf numFmtId="0" fontId="10" fillId="0" borderId="7" xfId="0" applyFont="1" applyBorder="1" applyAlignment="1">
      <alignment horizontal="center"/>
    </xf>
    <xf numFmtId="0" fontId="10" fillId="0" borderId="4" xfId="0" applyFont="1" applyBorder="1" applyAlignment="1">
      <alignment horizontal="center"/>
    </xf>
    <xf numFmtId="10" fontId="8" fillId="0" borderId="3" xfId="2" applyNumberFormat="1" applyFont="1" applyBorder="1" applyAlignment="1">
      <alignment horizontal="center" vertical="center"/>
    </xf>
    <xf numFmtId="10" fontId="8" fillId="0" borderId="4" xfId="2" applyNumberFormat="1" applyFont="1" applyBorder="1" applyAlignment="1">
      <alignment horizontal="center" vertical="center"/>
    </xf>
    <xf numFmtId="0" fontId="1" fillId="0" borderId="11" xfId="0" applyFont="1" applyBorder="1" applyAlignment="1">
      <alignment horizontal="center" vertical="center"/>
    </xf>
    <xf numFmtId="0" fontId="1" fillId="0" borderId="2" xfId="0" applyFont="1" applyBorder="1" applyAlignment="1">
      <alignment horizontal="center" vertical="center"/>
    </xf>
    <xf numFmtId="0" fontId="1" fillId="0" borderId="12"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center" vertical="center"/>
    </xf>
    <xf numFmtId="0" fontId="1" fillId="0" borderId="10" xfId="0" applyFont="1" applyBorder="1" applyAlignment="1">
      <alignment horizontal="center" vertical="center"/>
    </xf>
    <xf numFmtId="0" fontId="8" fillId="4" borderId="14" xfId="0" applyFont="1" applyFill="1" applyBorder="1" applyAlignment="1">
      <alignment horizontal="center" vertical="center"/>
    </xf>
    <xf numFmtId="0" fontId="7" fillId="5" borderId="0" xfId="0" applyFont="1" applyFill="1" applyAlignment="1">
      <alignment horizontal="left" vertical="center" wrapText="1"/>
    </xf>
    <xf numFmtId="0" fontId="24" fillId="0" borderId="39" xfId="0" applyFont="1" applyBorder="1" applyAlignment="1">
      <alignment horizontal="left"/>
    </xf>
    <xf numFmtId="0" fontId="24" fillId="0" borderId="48" xfId="0" applyFont="1" applyBorder="1" applyAlignment="1">
      <alignment horizontal="left"/>
    </xf>
    <xf numFmtId="0" fontId="24" fillId="0" borderId="0" xfId="0" applyFont="1" applyAlignment="1">
      <alignment horizontal="left"/>
    </xf>
    <xf numFmtId="0" fontId="24" fillId="0" borderId="10" xfId="0" applyFont="1" applyBorder="1" applyAlignment="1">
      <alignment horizontal="left"/>
    </xf>
    <xf numFmtId="0" fontId="22" fillId="8" borderId="32" xfId="0" applyFont="1" applyFill="1" applyBorder="1" applyAlignment="1">
      <alignment horizontal="left" vertical="center" wrapText="1"/>
    </xf>
    <xf numFmtId="0" fontId="22" fillId="8" borderId="46" xfId="0" applyFont="1" applyFill="1" applyBorder="1" applyAlignment="1">
      <alignment horizontal="left" vertical="center" wrapText="1"/>
    </xf>
    <xf numFmtId="0" fontId="22" fillId="8" borderId="49" xfId="0" applyFont="1" applyFill="1" applyBorder="1" applyAlignment="1">
      <alignment horizontal="left" vertical="center" wrapText="1"/>
    </xf>
    <xf numFmtId="0" fontId="22" fillId="8" borderId="32" xfId="0" applyFont="1" applyFill="1" applyBorder="1" applyAlignment="1">
      <alignment horizontal="center" vertical="center" wrapText="1"/>
    </xf>
    <xf numFmtId="0" fontId="22" fillId="8" borderId="33" xfId="0" applyFont="1" applyFill="1" applyBorder="1" applyAlignment="1">
      <alignment horizontal="center" vertical="center" wrapText="1"/>
    </xf>
    <xf numFmtId="0" fontId="22" fillId="8" borderId="34" xfId="0" applyFont="1" applyFill="1" applyBorder="1" applyAlignment="1">
      <alignment horizontal="center" vertical="center" wrapText="1"/>
    </xf>
    <xf numFmtId="0" fontId="22" fillId="8" borderId="46" xfId="0" applyFont="1" applyFill="1" applyBorder="1" applyAlignment="1">
      <alignment horizontal="center" vertical="center" wrapText="1"/>
    </xf>
    <xf numFmtId="0" fontId="22" fillId="8" borderId="0" xfId="0" applyFont="1" applyFill="1" applyAlignment="1">
      <alignment horizontal="center" vertical="center" wrapText="1"/>
    </xf>
    <xf numFmtId="0" fontId="22" fillId="8" borderId="41" xfId="0" applyFont="1" applyFill="1" applyBorder="1" applyAlignment="1">
      <alignment horizontal="center" vertical="center" wrapText="1"/>
    </xf>
    <xf numFmtId="0" fontId="22" fillId="8" borderId="49" xfId="0" applyFont="1" applyFill="1" applyBorder="1" applyAlignment="1">
      <alignment horizontal="center" vertical="center" wrapText="1"/>
    </xf>
    <xf numFmtId="0" fontId="22" fillId="8" borderId="48" xfId="0" applyFont="1" applyFill="1" applyBorder="1" applyAlignment="1">
      <alignment horizontal="center" vertical="center" wrapText="1"/>
    </xf>
    <xf numFmtId="0" fontId="22" fillId="8" borderId="40" xfId="0" applyFont="1" applyFill="1" applyBorder="1" applyAlignment="1">
      <alignment horizontal="center" vertical="center" wrapText="1"/>
    </xf>
    <xf numFmtId="0" fontId="22" fillId="8" borderId="42" xfId="0" applyFont="1" applyFill="1" applyBorder="1" applyAlignment="1">
      <alignment horizontal="center" vertical="center" wrapText="1"/>
    </xf>
    <xf numFmtId="0" fontId="22" fillId="8" borderId="44" xfId="0" applyFont="1" applyFill="1" applyBorder="1" applyAlignment="1">
      <alignment horizontal="center" vertical="center" wrapText="1"/>
    </xf>
    <xf numFmtId="0" fontId="22" fillId="0" borderId="42"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43" xfId="0" applyFont="1" applyBorder="1" applyAlignment="1">
      <alignment horizontal="center" vertical="center" wrapText="1"/>
    </xf>
    <xf numFmtId="0" fontId="22" fillId="10" borderId="42" xfId="0" applyFont="1" applyFill="1" applyBorder="1" applyAlignment="1">
      <alignment horizontal="center" vertical="center" wrapText="1"/>
    </xf>
    <xf numFmtId="0" fontId="22" fillId="10" borderId="43" xfId="0" applyFont="1" applyFill="1" applyBorder="1" applyAlignment="1">
      <alignment horizontal="center" vertical="center" wrapText="1"/>
    </xf>
    <xf numFmtId="0" fontId="22" fillId="10" borderId="44" xfId="0" applyFont="1" applyFill="1" applyBorder="1" applyAlignment="1">
      <alignment horizontal="center" vertical="center" wrapText="1"/>
    </xf>
    <xf numFmtId="0" fontId="22" fillId="0" borderId="32" xfId="0" applyFont="1" applyBorder="1" applyAlignment="1">
      <alignment horizontal="center" vertical="center" wrapText="1"/>
    </xf>
    <xf numFmtId="0" fontId="22" fillId="0" borderId="34" xfId="0" applyFont="1" applyBorder="1" applyAlignment="1">
      <alignment horizontal="center" vertical="center" wrapText="1"/>
    </xf>
    <xf numFmtId="0" fontId="22" fillId="11" borderId="42" xfId="0" applyFont="1" applyFill="1" applyBorder="1" applyAlignment="1">
      <alignment horizontal="center" vertical="center" wrapText="1"/>
    </xf>
    <xf numFmtId="0" fontId="22" fillId="11" borderId="43" xfId="0" applyFont="1" applyFill="1" applyBorder="1" applyAlignment="1">
      <alignment horizontal="center" vertical="center" wrapText="1"/>
    </xf>
    <xf numFmtId="0" fontId="22" fillId="0" borderId="22" xfId="0" applyFont="1" applyBorder="1" applyAlignment="1">
      <alignment horizontal="center" vertical="center" wrapText="1"/>
    </xf>
    <xf numFmtId="0" fontId="22" fillId="0" borderId="65" xfId="0" applyFont="1" applyBorder="1" applyAlignment="1">
      <alignment horizontal="center" vertical="center" wrapText="1"/>
    </xf>
    <xf numFmtId="0" fontId="22" fillId="0" borderId="62"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0" fontId="18" fillId="8" borderId="22" xfId="0" applyFont="1" applyFill="1" applyBorder="1" applyAlignment="1">
      <alignment horizontal="center" vertical="center" wrapText="1"/>
    </xf>
    <xf numFmtId="0" fontId="18" fillId="8" borderId="19" xfId="0" applyFont="1" applyFill="1" applyBorder="1" applyAlignment="1">
      <alignment horizontal="center" vertical="center" wrapText="1"/>
    </xf>
    <xf numFmtId="10" fontId="18" fillId="4" borderId="29" xfId="0" applyNumberFormat="1" applyFont="1" applyFill="1" applyBorder="1" applyAlignment="1">
      <alignment horizontal="center" vertical="center" wrapText="1"/>
    </xf>
    <xf numFmtId="10" fontId="18" fillId="4" borderId="39" xfId="0" applyNumberFormat="1" applyFont="1" applyFill="1" applyBorder="1" applyAlignment="1">
      <alignment horizontal="center" vertical="center" wrapText="1"/>
    </xf>
    <xf numFmtId="0" fontId="20" fillId="2" borderId="0" xfId="0" applyFont="1" applyFill="1" applyAlignment="1">
      <alignment horizontal="center"/>
    </xf>
    <xf numFmtId="0" fontId="19" fillId="0" borderId="0" xfId="0" applyFont="1" applyAlignment="1">
      <alignment horizontal="right"/>
    </xf>
    <xf numFmtId="0" fontId="25" fillId="0" borderId="0" xfId="0" applyFont="1" applyAlignment="1">
      <alignment horizontal="left" vertical="top" wrapText="1"/>
    </xf>
    <xf numFmtId="0" fontId="19" fillId="0" borderId="0" xfId="0" applyFont="1" applyAlignment="1">
      <alignment horizontal="right" vertical="top"/>
    </xf>
    <xf numFmtId="0" fontId="1" fillId="8" borderId="47" xfId="0" applyFont="1" applyFill="1" applyBorder="1" applyAlignment="1">
      <alignment horizontal="left" vertical="center" wrapText="1"/>
    </xf>
    <xf numFmtId="0" fontId="1" fillId="8" borderId="7" xfId="0" applyFont="1" applyFill="1" applyBorder="1" applyAlignment="1">
      <alignment horizontal="left" vertical="center" wrapText="1"/>
    </xf>
    <xf numFmtId="0" fontId="1" fillId="8" borderId="53" xfId="0" applyFont="1" applyFill="1" applyBorder="1" applyAlignment="1">
      <alignment horizontal="left" vertical="center" wrapText="1"/>
    </xf>
    <xf numFmtId="0" fontId="18" fillId="4" borderId="23" xfId="0" applyFont="1" applyFill="1" applyBorder="1" applyAlignment="1">
      <alignment horizontal="center" vertical="center" wrapText="1"/>
    </xf>
    <xf numFmtId="0" fontId="18" fillId="4" borderId="36" xfId="0" applyFont="1" applyFill="1" applyBorder="1" applyAlignment="1">
      <alignment horizontal="center" vertical="center" wrapText="1"/>
    </xf>
    <xf numFmtId="0" fontId="18" fillId="4" borderId="36" xfId="0" applyFont="1" applyFill="1" applyBorder="1" applyAlignment="1">
      <alignment horizontal="center" vertical="center"/>
    </xf>
    <xf numFmtId="0" fontId="18" fillId="4" borderId="29" xfId="0" applyFont="1" applyFill="1" applyBorder="1" applyAlignment="1">
      <alignment horizontal="center" vertical="center" wrapText="1"/>
    </xf>
    <xf numFmtId="0" fontId="18" fillId="4" borderId="39" xfId="0" applyFont="1" applyFill="1" applyBorder="1" applyAlignment="1">
      <alignment horizontal="center" vertical="center" wrapText="1"/>
    </xf>
    <xf numFmtId="0" fontId="18" fillId="4" borderId="22" xfId="0" applyFont="1" applyFill="1" applyBorder="1" applyAlignment="1">
      <alignment horizontal="center" vertical="center" wrapText="1"/>
    </xf>
    <xf numFmtId="0" fontId="18" fillId="4" borderId="19" xfId="0" applyFont="1" applyFill="1" applyBorder="1" applyAlignment="1">
      <alignment horizontal="center" vertical="center"/>
    </xf>
    <xf numFmtId="0" fontId="18" fillId="4" borderId="62"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8" fillId="4" borderId="63" xfId="0" applyFont="1" applyFill="1" applyBorder="1" applyAlignment="1">
      <alignment horizontal="center" vertical="center" wrapText="1"/>
    </xf>
    <xf numFmtId="0" fontId="18" fillId="4" borderId="61" xfId="0" applyFont="1" applyFill="1" applyBorder="1" applyAlignment="1">
      <alignment horizontal="center" vertical="center"/>
    </xf>
    <xf numFmtId="0" fontId="18" fillId="8" borderId="35" xfId="0" applyFont="1" applyFill="1" applyBorder="1" applyAlignment="1">
      <alignment horizontal="center" vertical="center" wrapText="1"/>
    </xf>
    <xf numFmtId="0" fontId="18" fillId="8" borderId="31" xfId="0" applyFont="1" applyFill="1" applyBorder="1" applyAlignment="1">
      <alignment horizontal="center" vertical="center" wrapText="1"/>
    </xf>
    <xf numFmtId="0" fontId="18" fillId="0" borderId="22"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62" xfId="0" applyFont="1" applyBorder="1" applyAlignment="1">
      <alignment horizontal="center" vertical="center" wrapText="1"/>
    </xf>
    <xf numFmtId="0" fontId="18" fillId="0" borderId="21" xfId="0" applyFont="1" applyBorder="1" applyAlignment="1">
      <alignment horizontal="center" vertical="center" wrapText="1"/>
    </xf>
    <xf numFmtId="0" fontId="18" fillId="4" borderId="26" xfId="0" applyFont="1" applyFill="1" applyBorder="1" applyAlignment="1">
      <alignment horizontal="center" vertical="center" wrapText="1"/>
    </xf>
    <xf numFmtId="0" fontId="18" fillId="4" borderId="38" xfId="0" applyFont="1" applyFill="1" applyBorder="1" applyAlignment="1">
      <alignment horizontal="center" vertical="center" wrapText="1"/>
    </xf>
    <xf numFmtId="10" fontId="18" fillId="4" borderId="24" xfId="0" applyNumberFormat="1" applyFont="1" applyFill="1" applyBorder="1" applyAlignment="1">
      <alignment horizontal="center" vertical="center" wrapText="1"/>
    </xf>
    <xf numFmtId="10" fontId="18" fillId="4" borderId="37" xfId="0" applyNumberFormat="1" applyFont="1" applyFill="1" applyBorder="1" applyAlignment="1">
      <alignment horizontal="center" vertical="center" wrapText="1"/>
    </xf>
    <xf numFmtId="0" fontId="21" fillId="8" borderId="52" xfId="0" applyFont="1" applyFill="1" applyBorder="1" applyAlignment="1">
      <alignment horizontal="center" vertical="center"/>
    </xf>
    <xf numFmtId="0" fontId="21" fillId="8" borderId="5" xfId="0" applyFont="1" applyFill="1" applyBorder="1" applyAlignment="1">
      <alignment horizontal="center" vertical="center"/>
    </xf>
    <xf numFmtId="0" fontId="21" fillId="8" borderId="30" xfId="0" applyFont="1" applyFill="1" applyBorder="1" applyAlignment="1">
      <alignment horizontal="center" vertical="center"/>
    </xf>
    <xf numFmtId="0" fontId="15" fillId="8" borderId="47" xfId="0" applyFont="1" applyFill="1" applyBorder="1" applyAlignment="1">
      <alignment horizontal="left" vertical="center"/>
    </xf>
    <xf numFmtId="0" fontId="15" fillId="8" borderId="7" xfId="0" applyFont="1" applyFill="1" applyBorder="1" applyAlignment="1">
      <alignment horizontal="left" vertical="center"/>
    </xf>
    <xf numFmtId="0" fontId="15" fillId="8" borderId="53" xfId="0" applyFont="1" applyFill="1" applyBorder="1" applyAlignment="1">
      <alignment horizontal="left" vertical="center"/>
    </xf>
    <xf numFmtId="0" fontId="1" fillId="8" borderId="47" xfId="0" applyFont="1" applyFill="1" applyBorder="1" applyAlignment="1">
      <alignment horizontal="left"/>
    </xf>
    <xf numFmtId="0" fontId="1" fillId="8" borderId="7" xfId="0" applyFont="1" applyFill="1" applyBorder="1" applyAlignment="1">
      <alignment horizontal="left"/>
    </xf>
    <xf numFmtId="0" fontId="1" fillId="8" borderId="53" xfId="0" applyFont="1" applyFill="1" applyBorder="1" applyAlignment="1">
      <alignment horizontal="left"/>
    </xf>
    <xf numFmtId="0" fontId="1" fillId="8" borderId="47" xfId="0" applyFont="1" applyFill="1" applyBorder="1" applyAlignment="1">
      <alignment horizontal="left" vertical="center"/>
    </xf>
    <xf numFmtId="0" fontId="1" fillId="8" borderId="7" xfId="0" applyFont="1" applyFill="1" applyBorder="1" applyAlignment="1">
      <alignment horizontal="left" vertical="center"/>
    </xf>
    <xf numFmtId="0" fontId="1" fillId="8" borderId="53" xfId="0" applyFont="1" applyFill="1" applyBorder="1" applyAlignment="1">
      <alignment horizontal="left" vertical="center"/>
    </xf>
    <xf numFmtId="0" fontId="1" fillId="8" borderId="45" xfId="0" applyFont="1" applyFill="1" applyBorder="1" applyAlignment="1">
      <alignment horizontal="left"/>
    </xf>
    <xf numFmtId="0" fontId="1" fillId="8" borderId="56" xfId="0" applyFont="1" applyFill="1" applyBorder="1" applyAlignment="1">
      <alignment horizontal="left"/>
    </xf>
    <xf numFmtId="0" fontId="1" fillId="8" borderId="54" xfId="0" applyFont="1" applyFill="1" applyBorder="1" applyAlignment="1">
      <alignment horizontal="left"/>
    </xf>
    <xf numFmtId="0" fontId="1" fillId="8" borderId="66" xfId="0" applyFont="1" applyFill="1" applyBorder="1" applyAlignment="1">
      <alignment horizontal="left"/>
    </xf>
    <xf numFmtId="0" fontId="1" fillId="8" borderId="2" xfId="0" applyFont="1" applyFill="1" applyBorder="1" applyAlignment="1">
      <alignment horizontal="left"/>
    </xf>
    <xf numFmtId="0" fontId="1" fillId="8" borderId="67" xfId="0" applyFont="1" applyFill="1" applyBorder="1" applyAlignment="1">
      <alignment horizontal="left"/>
    </xf>
    <xf numFmtId="0" fontId="16" fillId="0" borderId="49" xfId="0" applyFont="1" applyBorder="1" applyAlignment="1">
      <alignment horizontal="center" wrapText="1"/>
    </xf>
    <xf numFmtId="0" fontId="16" fillId="0" borderId="48" xfId="0" applyFont="1" applyBorder="1" applyAlignment="1">
      <alignment horizontal="center" wrapText="1"/>
    </xf>
    <xf numFmtId="0" fontId="16" fillId="0" borderId="40" xfId="0" applyFont="1" applyBorder="1" applyAlignment="1">
      <alignment horizontal="center" wrapText="1"/>
    </xf>
    <xf numFmtId="0" fontId="31" fillId="8" borderId="70" xfId="0" applyFont="1" applyFill="1" applyBorder="1" applyAlignment="1">
      <alignment horizontal="left" vertical="center" wrapText="1"/>
    </xf>
    <xf numFmtId="0" fontId="31" fillId="8" borderId="17" xfId="0" applyFont="1" applyFill="1" applyBorder="1" applyAlignment="1">
      <alignment horizontal="left" vertical="center" wrapText="1"/>
    </xf>
    <xf numFmtId="0" fontId="31" fillId="8" borderId="71" xfId="0" applyFont="1" applyFill="1" applyBorder="1" applyAlignment="1">
      <alignment horizontal="left" vertical="center" wrapText="1"/>
    </xf>
    <xf numFmtId="0" fontId="23" fillId="8" borderId="45" xfId="0" applyFont="1" applyFill="1" applyBorder="1" applyAlignment="1">
      <alignment horizontal="center"/>
    </xf>
    <xf numFmtId="0" fontId="23" fillId="8" borderId="56" xfId="0" applyFont="1" applyFill="1" applyBorder="1" applyAlignment="1">
      <alignment horizontal="center"/>
    </xf>
    <xf numFmtId="0" fontId="23" fillId="8" borderId="54" xfId="0" applyFont="1" applyFill="1" applyBorder="1" applyAlignment="1">
      <alignment horizontal="center"/>
    </xf>
    <xf numFmtId="0" fontId="1" fillId="0" borderId="47" xfId="0" applyFont="1" applyBorder="1" applyAlignment="1">
      <alignment horizontal="left" vertical="center"/>
    </xf>
    <xf numFmtId="0" fontId="21" fillId="0" borderId="52" xfId="0" applyFont="1" applyBorder="1" applyAlignment="1">
      <alignment horizontal="center" vertical="center"/>
    </xf>
    <xf numFmtId="0" fontId="21" fillId="0" borderId="5" xfId="0" applyFont="1" applyBorder="1" applyAlignment="1">
      <alignment horizontal="center" vertical="center"/>
    </xf>
    <xf numFmtId="0" fontId="21" fillId="0" borderId="30" xfId="0" applyFont="1" applyBorder="1" applyAlignment="1">
      <alignment horizontal="center" vertical="center"/>
    </xf>
    <xf numFmtId="0" fontId="1" fillId="8" borderId="1" xfId="0" applyFont="1" applyFill="1" applyBorder="1" applyAlignment="1">
      <alignment vertical="center" wrapText="1"/>
    </xf>
    <xf numFmtId="0" fontId="1" fillId="8" borderId="3" xfId="0" applyFont="1" applyFill="1" applyBorder="1" applyAlignment="1">
      <alignment vertical="center" wrapText="1"/>
    </xf>
    <xf numFmtId="0" fontId="1" fillId="8" borderId="1" xfId="0" applyFont="1" applyFill="1" applyBorder="1" applyAlignment="1">
      <alignment vertical="center"/>
    </xf>
    <xf numFmtId="0" fontId="1" fillId="8" borderId="3" xfId="0" applyFont="1" applyFill="1" applyBorder="1" applyAlignment="1">
      <alignment vertical="center"/>
    </xf>
    <xf numFmtId="0" fontId="1" fillId="8" borderId="7" xfId="0" applyFont="1" applyFill="1" applyBorder="1" applyAlignment="1">
      <alignment vertical="center"/>
    </xf>
    <xf numFmtId="0" fontId="1" fillId="0" borderId="47" xfId="0" applyFont="1" applyBorder="1" applyAlignment="1">
      <alignment horizontal="left" vertical="center" wrapText="1"/>
    </xf>
    <xf numFmtId="0" fontId="1" fillId="8" borderId="7" xfId="0" applyFont="1" applyFill="1" applyBorder="1" applyAlignment="1">
      <alignment vertical="center" wrapText="1"/>
    </xf>
    <xf numFmtId="10" fontId="31" fillId="0" borderId="3" xfId="2" applyNumberFormat="1" applyFont="1" applyBorder="1" applyAlignment="1">
      <alignment horizontal="center"/>
    </xf>
    <xf numFmtId="10" fontId="31" fillId="0" borderId="4" xfId="2" applyNumberFormat="1" applyFont="1" applyBorder="1" applyAlignment="1">
      <alignment horizontal="center"/>
    </xf>
    <xf numFmtId="4" fontId="31" fillId="0" borderId="3" xfId="0" applyNumberFormat="1" applyFont="1" applyBorder="1" applyAlignment="1">
      <alignment horizontal="center"/>
    </xf>
    <xf numFmtId="0" fontId="31" fillId="0" borderId="4" xfId="0" applyFont="1" applyBorder="1" applyAlignment="1">
      <alignment horizontal="center"/>
    </xf>
    <xf numFmtId="0" fontId="1" fillId="0" borderId="11" xfId="0" applyFont="1" applyBorder="1" applyAlignment="1">
      <alignment horizontal="center"/>
    </xf>
    <xf numFmtId="0" fontId="1" fillId="0" borderId="2" xfId="0" applyFont="1" applyBorder="1" applyAlignment="1">
      <alignment horizontal="center"/>
    </xf>
    <xf numFmtId="0" fontId="1" fillId="0" borderId="12" xfId="0" applyFont="1" applyBorder="1" applyAlignment="1">
      <alignment horizontal="center"/>
    </xf>
    <xf numFmtId="0" fontId="28" fillId="8" borderId="42" xfId="0" applyFont="1" applyFill="1" applyBorder="1" applyAlignment="1">
      <alignment horizontal="center" wrapText="1"/>
    </xf>
    <xf numFmtId="0" fontId="28" fillId="8" borderId="43" xfId="0" applyFont="1" applyFill="1" applyBorder="1" applyAlignment="1">
      <alignment horizontal="center" wrapText="1"/>
    </xf>
    <xf numFmtId="0" fontId="28" fillId="8" borderId="44" xfId="0" applyFont="1" applyFill="1" applyBorder="1" applyAlignment="1">
      <alignment horizontal="center" wrapText="1"/>
    </xf>
    <xf numFmtId="0" fontId="31" fillId="4" borderId="42" xfId="0" applyFont="1" applyFill="1" applyBorder="1" applyAlignment="1">
      <alignment horizontal="center" vertical="center" wrapText="1"/>
    </xf>
    <xf numFmtId="0" fontId="31" fillId="4" borderId="44" xfId="0" applyFont="1" applyFill="1" applyBorder="1" applyAlignment="1">
      <alignment horizontal="center" vertical="center" wrapText="1"/>
    </xf>
    <xf numFmtId="9" fontId="31" fillId="0" borderId="6" xfId="2" applyFont="1" applyBorder="1" applyAlignment="1">
      <alignment horizontal="center"/>
    </xf>
    <xf numFmtId="9" fontId="31" fillId="0" borderId="8" xfId="2" applyFont="1" applyBorder="1" applyAlignment="1">
      <alignment horizontal="center"/>
    </xf>
    <xf numFmtId="2" fontId="31" fillId="0" borderId="6" xfId="0" applyNumberFormat="1" applyFont="1" applyBorder="1" applyAlignment="1">
      <alignment horizontal="center"/>
    </xf>
    <xf numFmtId="2" fontId="31" fillId="0" borderId="8" xfId="0" applyNumberFormat="1" applyFont="1" applyBorder="1" applyAlignment="1">
      <alignment horizontal="center"/>
    </xf>
    <xf numFmtId="0" fontId="1" fillId="8" borderId="4" xfId="0" applyFont="1" applyFill="1" applyBorder="1" applyAlignment="1">
      <alignment vertical="center"/>
    </xf>
    <xf numFmtId="0" fontId="1" fillId="8" borderId="3" xfId="0" applyFont="1" applyFill="1" applyBorder="1" applyAlignment="1">
      <alignment horizontal="left" vertical="center"/>
    </xf>
    <xf numFmtId="0" fontId="1" fillId="8" borderId="4" xfId="0" applyFont="1" applyFill="1" applyBorder="1" applyAlignment="1">
      <alignment horizontal="left" vertical="center"/>
    </xf>
    <xf numFmtId="4" fontId="30" fillId="0" borderId="3" xfId="0" applyNumberFormat="1" applyFont="1" applyBorder="1" applyAlignment="1">
      <alignment horizontal="center"/>
    </xf>
    <xf numFmtId="0" fontId="30" fillId="0" borderId="4" xfId="0" applyFont="1" applyBorder="1" applyAlignment="1">
      <alignment horizontal="center"/>
    </xf>
    <xf numFmtId="0" fontId="30" fillId="0" borderId="3" xfId="0" applyFont="1" applyBorder="1" applyAlignment="1">
      <alignment horizontal="center"/>
    </xf>
    <xf numFmtId="0" fontId="30" fillId="0" borderId="7" xfId="0" applyFont="1" applyBorder="1" applyAlignment="1">
      <alignment horizontal="center"/>
    </xf>
    <xf numFmtId="10" fontId="8" fillId="0" borderId="14" xfId="2" applyNumberFormat="1" applyFont="1" applyBorder="1" applyAlignment="1">
      <alignment horizontal="center" vertical="center" wrapText="1"/>
    </xf>
    <xf numFmtId="10" fontId="8" fillId="0" borderId="13" xfId="2" applyNumberFormat="1"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1" xfId="0" applyFont="1" applyBorder="1" applyAlignment="1">
      <alignment horizontal="left" vertical="center" wrapText="1"/>
    </xf>
    <xf numFmtId="0" fontId="1" fillId="0" borderId="2" xfId="0" applyFont="1" applyBorder="1" applyAlignment="1">
      <alignment horizontal="left" vertical="center" wrapText="1"/>
    </xf>
    <xf numFmtId="0" fontId="1" fillId="0" borderId="12" xfId="0" applyFont="1" applyBorder="1" applyAlignment="1">
      <alignment horizontal="left" vertical="center" wrapText="1"/>
    </xf>
    <xf numFmtId="0" fontId="1" fillId="0" borderId="6" xfId="0" applyFont="1" applyBorder="1" applyAlignment="1">
      <alignment horizontal="left" vertical="center" wrapText="1"/>
    </xf>
    <xf numFmtId="0" fontId="1" fillId="0" borderId="5" xfId="0" applyFont="1" applyBorder="1" applyAlignment="1">
      <alignment horizontal="left" vertical="center" wrapText="1"/>
    </xf>
    <xf numFmtId="0" fontId="1" fillId="0" borderId="8" xfId="0" applyFont="1" applyBorder="1" applyAlignment="1">
      <alignment horizontal="left" vertical="center" wrapText="1"/>
    </xf>
    <xf numFmtId="0" fontId="8" fillId="0" borderId="3" xfId="0" applyFont="1" applyBorder="1" applyAlignment="1">
      <alignment horizontal="left" wrapText="1"/>
    </xf>
    <xf numFmtId="0" fontId="8" fillId="0" borderId="7" xfId="0" applyFont="1" applyBorder="1" applyAlignment="1">
      <alignment horizontal="left" wrapText="1"/>
    </xf>
    <xf numFmtId="0" fontId="8" fillId="0" borderId="4" xfId="0" applyFont="1" applyBorder="1" applyAlignment="1">
      <alignment horizontal="left" wrapText="1"/>
    </xf>
    <xf numFmtId="0" fontId="26" fillId="2" borderId="42" xfId="0" applyFont="1" applyFill="1" applyBorder="1" applyAlignment="1">
      <alignment horizontal="center"/>
    </xf>
    <xf numFmtId="0" fontId="26" fillId="2" borderId="43" xfId="0" applyFont="1" applyFill="1" applyBorder="1" applyAlignment="1">
      <alignment horizontal="center"/>
    </xf>
    <xf numFmtId="0" fontId="26" fillId="2" borderId="44" xfId="0" applyFont="1" applyFill="1" applyBorder="1" applyAlignment="1">
      <alignment horizontal="center"/>
    </xf>
    <xf numFmtId="0" fontId="2" fillId="5" borderId="42" xfId="0" applyFont="1" applyFill="1" applyBorder="1" applyAlignment="1">
      <alignment horizontal="center"/>
    </xf>
    <xf numFmtId="0" fontId="2" fillId="5" borderId="43" xfId="0" applyFont="1" applyFill="1" applyBorder="1" applyAlignment="1">
      <alignment horizontal="center"/>
    </xf>
    <xf numFmtId="0" fontId="2" fillId="5" borderId="44" xfId="0" applyFont="1" applyFill="1" applyBorder="1" applyAlignment="1">
      <alignment horizontal="center"/>
    </xf>
    <xf numFmtId="0" fontId="27" fillId="3" borderId="42" xfId="0" applyFont="1" applyFill="1" applyBorder="1" applyAlignment="1">
      <alignment horizontal="center"/>
    </xf>
    <xf numFmtId="0" fontId="27" fillId="3" borderId="43" xfId="0" applyFont="1" applyFill="1" applyBorder="1" applyAlignment="1">
      <alignment horizontal="center"/>
    </xf>
    <xf numFmtId="0" fontId="27" fillId="3" borderId="44" xfId="0" applyFont="1" applyFill="1" applyBorder="1" applyAlignment="1">
      <alignment horizontal="center"/>
    </xf>
    <xf numFmtId="0" fontId="7" fillId="5" borderId="42" xfId="0" applyFont="1" applyFill="1" applyBorder="1" applyAlignment="1">
      <alignment horizontal="center"/>
    </xf>
    <xf numFmtId="0" fontId="7" fillId="5" borderId="43" xfId="0" applyFont="1" applyFill="1" applyBorder="1" applyAlignment="1">
      <alignment horizontal="center"/>
    </xf>
    <xf numFmtId="0" fontId="7" fillId="5" borderId="44" xfId="0" applyFont="1" applyFill="1" applyBorder="1" applyAlignment="1">
      <alignment horizontal="center"/>
    </xf>
    <xf numFmtId="0" fontId="6" fillId="0" borderId="22" xfId="0" applyFont="1" applyBorder="1" applyAlignment="1">
      <alignment horizontal="right"/>
    </xf>
    <xf numFmtId="0" fontId="6" fillId="0" borderId="50" xfId="0" applyFont="1" applyBorder="1" applyAlignment="1">
      <alignment horizontal="right"/>
    </xf>
    <xf numFmtId="0" fontId="3" fillId="0" borderId="57" xfId="0" applyFont="1" applyBorder="1" applyAlignment="1">
      <alignment horizontal="center"/>
    </xf>
    <xf numFmtId="0" fontId="3" fillId="0" borderId="58" xfId="0" applyFont="1" applyBorder="1" applyAlignment="1">
      <alignment horizontal="center"/>
    </xf>
    <xf numFmtId="0" fontId="5" fillId="0" borderId="32" xfId="0" applyFont="1" applyBorder="1" applyAlignment="1">
      <alignment horizontal="left" vertical="top" wrapText="1"/>
    </xf>
    <xf numFmtId="0" fontId="5" fillId="0" borderId="33" xfId="0" applyFont="1" applyBorder="1" applyAlignment="1">
      <alignment horizontal="left" vertical="top" wrapText="1"/>
    </xf>
    <xf numFmtId="0" fontId="5" fillId="0" borderId="34" xfId="0" applyFont="1" applyBorder="1" applyAlignment="1">
      <alignment horizontal="left" vertical="top" wrapText="1"/>
    </xf>
    <xf numFmtId="0" fontId="5" fillId="0" borderId="46" xfId="0" applyFont="1" applyBorder="1" applyAlignment="1">
      <alignment horizontal="left" vertical="top" wrapText="1"/>
    </xf>
    <xf numFmtId="0" fontId="5" fillId="0" borderId="41" xfId="0" applyFont="1" applyBorder="1" applyAlignment="1">
      <alignment horizontal="left" vertical="top" wrapText="1"/>
    </xf>
    <xf numFmtId="0" fontId="5" fillId="0" borderId="49" xfId="0" applyFont="1" applyBorder="1" applyAlignment="1">
      <alignment horizontal="left" vertical="top" wrapText="1"/>
    </xf>
    <xf numFmtId="0" fontId="5" fillId="0" borderId="48" xfId="0" applyFont="1" applyBorder="1" applyAlignment="1">
      <alignment horizontal="left" vertical="top" wrapText="1"/>
    </xf>
    <xf numFmtId="0" fontId="5" fillId="0" borderId="40" xfId="0" applyFont="1" applyBorder="1" applyAlignment="1">
      <alignment horizontal="left" vertical="top" wrapText="1"/>
    </xf>
    <xf numFmtId="0" fontId="3" fillId="0" borderId="47" xfId="0" applyFont="1" applyBorder="1" applyAlignment="1">
      <alignment horizontal="center"/>
    </xf>
    <xf numFmtId="0" fontId="3" fillId="0" borderId="53" xfId="0" applyFont="1" applyBorder="1" applyAlignment="1">
      <alignment horizontal="center"/>
    </xf>
    <xf numFmtId="0" fontId="6" fillId="0" borderId="16" xfId="0" applyFont="1" applyBorder="1" applyAlignment="1">
      <alignment horizontal="right"/>
    </xf>
    <xf numFmtId="0" fontId="6" fillId="0" borderId="3" xfId="0" applyFont="1" applyBorder="1" applyAlignment="1">
      <alignment horizontal="right"/>
    </xf>
    <xf numFmtId="0" fontId="6" fillId="0" borderId="16" xfId="0" applyFont="1" applyBorder="1" applyAlignment="1">
      <alignment horizontal="right" vertical="top"/>
    </xf>
    <xf numFmtId="0" fontId="6" fillId="0" borderId="3" xfId="0" applyFont="1" applyBorder="1" applyAlignment="1">
      <alignment horizontal="right" vertical="top"/>
    </xf>
    <xf numFmtId="0" fontId="7" fillId="5" borderId="32" xfId="0" applyFont="1" applyFill="1" applyBorder="1" applyAlignment="1">
      <alignment horizontal="center"/>
    </xf>
    <xf numFmtId="0" fontId="7" fillId="5" borderId="33" xfId="0" applyFont="1" applyFill="1" applyBorder="1" applyAlignment="1">
      <alignment horizontal="center"/>
    </xf>
    <xf numFmtId="0" fontId="7" fillId="5" borderId="34" xfId="0" applyFont="1" applyFill="1" applyBorder="1" applyAlignment="1">
      <alignment horizontal="center"/>
    </xf>
    <xf numFmtId="0" fontId="21" fillId="8" borderId="42" xfId="0" applyFont="1" applyFill="1" applyBorder="1" applyAlignment="1">
      <alignment horizontal="center" vertical="center" wrapText="1"/>
    </xf>
    <xf numFmtId="0" fontId="21" fillId="8" borderId="44" xfId="0" applyFont="1" applyFill="1" applyBorder="1" applyAlignment="1">
      <alignment horizontal="center" vertical="center" wrapText="1"/>
    </xf>
    <xf numFmtId="0" fontId="21" fillId="8" borderId="42" xfId="0" applyFont="1" applyFill="1" applyBorder="1" applyAlignment="1">
      <alignment horizontal="center" vertical="center"/>
    </xf>
    <xf numFmtId="0" fontId="21" fillId="8" borderId="44" xfId="0" applyFont="1" applyFill="1" applyBorder="1" applyAlignment="1">
      <alignment horizontal="center" vertical="center"/>
    </xf>
    <xf numFmtId="0" fontId="21" fillId="8" borderId="43" xfId="0" applyFont="1" applyFill="1" applyBorder="1" applyAlignment="1">
      <alignment horizontal="center" vertical="center" wrapText="1"/>
    </xf>
    <xf numFmtId="10" fontId="8" fillId="0" borderId="6" xfId="2" applyNumberFormat="1" applyFont="1" applyBorder="1" applyAlignment="1">
      <alignment horizontal="center" vertical="center" wrapText="1"/>
    </xf>
    <xf numFmtId="10" fontId="8" fillId="0" borderId="8" xfId="2" applyNumberFormat="1" applyFont="1" applyBorder="1" applyAlignment="1">
      <alignment horizontal="center" vertical="center" wrapText="1"/>
    </xf>
    <xf numFmtId="0" fontId="8" fillId="0" borderId="6" xfId="0" applyFont="1" applyBorder="1" applyAlignment="1">
      <alignment horizontal="left" vertical="center" wrapText="1"/>
    </xf>
    <xf numFmtId="0" fontId="8" fillId="0" borderId="5" xfId="0" applyFont="1" applyBorder="1" applyAlignment="1">
      <alignment horizontal="left" vertical="center" wrapText="1"/>
    </xf>
    <xf numFmtId="0" fontId="8" fillId="0" borderId="8" xfId="0" applyFont="1" applyBorder="1" applyAlignment="1">
      <alignment horizontal="left" vertical="center" wrapText="1"/>
    </xf>
    <xf numFmtId="10" fontId="8" fillId="0" borderId="6" xfId="2" applyNumberFormat="1" applyFont="1" applyBorder="1" applyAlignment="1">
      <alignment horizontal="left" vertical="center" wrapText="1"/>
    </xf>
    <xf numFmtId="10" fontId="8" fillId="0" borderId="8" xfId="2" applyNumberFormat="1" applyFont="1" applyBorder="1" applyAlignment="1">
      <alignment horizontal="left" vertical="center" wrapText="1"/>
    </xf>
    <xf numFmtId="0" fontId="8" fillId="0" borderId="1" xfId="0" applyFont="1" applyBorder="1" applyAlignment="1">
      <alignment horizontal="left" wrapText="1"/>
    </xf>
    <xf numFmtId="0" fontId="0" fillId="0" borderId="0" xfId="0" applyAlignment="1">
      <alignment horizontal="center"/>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lee/Documents/A&#209;O%202021/IAFF%202021/IAFF%20DICIEMBRE%20%202021/DICIEMBRE%20%202021%20BID%203618%20Avance%20F&#237;sico%20Financiero%20Desempe&#241;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lee/Documents/A&#209;O%202023/IAFF%202023/12%20DICIEMBRE%20IAFF%202023/DICIEMBRE_2023_BID3618_IAF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AFF (1)"/>
      <sheetName val="IAFF (2)"/>
      <sheetName val="IAFF (3)"/>
    </sheetNames>
    <sheetDataSet>
      <sheetData sheetId="0">
        <row r="19">
          <cell r="G19">
            <v>106</v>
          </cell>
          <cell r="H19">
            <v>32</v>
          </cell>
          <cell r="K19">
            <v>23136000</v>
          </cell>
          <cell r="L19">
            <v>6245000</v>
          </cell>
        </row>
        <row r="20">
          <cell r="G20">
            <v>86</v>
          </cell>
          <cell r="H20">
            <v>37</v>
          </cell>
          <cell r="K20">
            <v>22113000</v>
          </cell>
          <cell r="L20">
            <v>7805300</v>
          </cell>
        </row>
        <row r="21">
          <cell r="G21">
            <v>57</v>
          </cell>
          <cell r="K21">
            <v>876543</v>
          </cell>
          <cell r="L21">
            <v>0</v>
          </cell>
        </row>
        <row r="22">
          <cell r="G22">
            <v>18</v>
          </cell>
          <cell r="H22">
            <v>0</v>
          </cell>
          <cell r="K22">
            <v>268080</v>
          </cell>
          <cell r="L22">
            <v>0</v>
          </cell>
        </row>
        <row r="23">
          <cell r="G23">
            <v>12</v>
          </cell>
          <cell r="H23">
            <v>12</v>
          </cell>
          <cell r="K23">
            <v>1350000</v>
          </cell>
          <cell r="L23">
            <v>807438.92</v>
          </cell>
        </row>
        <row r="24">
          <cell r="G24">
            <v>538</v>
          </cell>
          <cell r="H24">
            <v>538</v>
          </cell>
          <cell r="K24">
            <v>45134286</v>
          </cell>
          <cell r="L24">
            <v>40323767.299999997</v>
          </cell>
        </row>
        <row r="25">
          <cell r="G25">
            <v>3331</v>
          </cell>
          <cell r="H25">
            <v>2754</v>
          </cell>
          <cell r="K25">
            <v>25974679</v>
          </cell>
          <cell r="L25">
            <v>24179760</v>
          </cell>
        </row>
        <row r="26">
          <cell r="G26">
            <v>1896</v>
          </cell>
          <cell r="H26">
            <v>0</v>
          </cell>
          <cell r="K26">
            <v>44405951</v>
          </cell>
          <cell r="L26">
            <v>0</v>
          </cell>
        </row>
        <row r="27">
          <cell r="G27">
            <v>477261</v>
          </cell>
          <cell r="H27">
            <v>477261</v>
          </cell>
          <cell r="K27">
            <v>8172139</v>
          </cell>
          <cell r="L27">
            <v>8172138.1900000004</v>
          </cell>
        </row>
        <row r="28">
          <cell r="K28">
            <v>12517326</v>
          </cell>
          <cell r="L28">
            <v>2970264.76</v>
          </cell>
        </row>
        <row r="29">
          <cell r="K29">
            <v>977300</v>
          </cell>
          <cell r="L29">
            <v>503376.25</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AFF (1)"/>
      <sheetName val="IAFF (2)"/>
      <sheetName val="IAFF (3)"/>
      <sheetName val="Hoja1"/>
    </sheetNames>
    <sheetDataSet>
      <sheetData sheetId="0" refreshError="1">
        <row r="19">
          <cell r="G19">
            <v>3795</v>
          </cell>
          <cell r="H19">
            <v>3795</v>
          </cell>
          <cell r="K19">
            <v>281621872</v>
          </cell>
          <cell r="L19">
            <v>278595769.11000001</v>
          </cell>
        </row>
        <row r="20">
          <cell r="G20">
            <v>453</v>
          </cell>
          <cell r="K20">
            <v>72359470</v>
          </cell>
          <cell r="L20">
            <v>72039139.650000006</v>
          </cell>
        </row>
        <row r="22">
          <cell r="G22">
            <v>107140</v>
          </cell>
          <cell r="H22">
            <v>107140</v>
          </cell>
          <cell r="K22">
            <v>30975349</v>
          </cell>
          <cell r="L22">
            <v>29901259</v>
          </cell>
        </row>
        <row r="23">
          <cell r="H23">
            <v>0</v>
          </cell>
          <cell r="K23">
            <v>229200</v>
          </cell>
          <cell r="L23">
            <v>0</v>
          </cell>
        </row>
        <row r="24">
          <cell r="G24">
            <v>319</v>
          </cell>
          <cell r="H24">
            <v>272</v>
          </cell>
          <cell r="K24">
            <v>19048370</v>
          </cell>
          <cell r="L24">
            <v>18696268.849999998</v>
          </cell>
        </row>
        <row r="26">
          <cell r="G26">
            <v>1500</v>
          </cell>
          <cell r="H26">
            <v>385</v>
          </cell>
          <cell r="K26">
            <v>15246590</v>
          </cell>
          <cell r="L26">
            <v>7563025</v>
          </cell>
        </row>
        <row r="27">
          <cell r="G27">
            <v>2179805</v>
          </cell>
          <cell r="H27">
            <v>2179805</v>
          </cell>
          <cell r="K27">
            <v>17674666</v>
          </cell>
          <cell r="L27">
            <v>17674480.93</v>
          </cell>
        </row>
        <row r="28">
          <cell r="E28" t="str">
            <v>N/A</v>
          </cell>
          <cell r="K28">
            <v>680000</v>
          </cell>
          <cell r="L28">
            <v>340000</v>
          </cell>
        </row>
        <row r="29">
          <cell r="G29">
            <v>1307</v>
          </cell>
          <cell r="H29">
            <v>1171</v>
          </cell>
          <cell r="K29">
            <v>2288000</v>
          </cell>
          <cell r="L29">
            <v>2111120</v>
          </cell>
        </row>
        <row r="31">
          <cell r="E31" t="str">
            <v>N/A</v>
          </cell>
          <cell r="K31">
            <v>2543131</v>
          </cell>
          <cell r="L31">
            <v>2194822.6</v>
          </cell>
        </row>
        <row r="32">
          <cell r="H32">
            <v>0</v>
          </cell>
          <cell r="K32">
            <v>0</v>
          </cell>
          <cell r="L32">
            <v>0</v>
          </cell>
        </row>
      </sheetData>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F72"/>
  <sheetViews>
    <sheetView showGridLines="0" tabSelected="1" zoomScale="75" zoomScaleNormal="75" zoomScaleSheetLayoutView="70" zoomScalePageLayoutView="55" workbookViewId="0">
      <selection activeCell="G24" sqref="G24"/>
    </sheetView>
  </sheetViews>
  <sheetFormatPr baseColWidth="10" defaultRowHeight="18.75" x14ac:dyDescent="0.3"/>
  <cols>
    <col min="1" max="1" width="21.7109375" style="1" customWidth="1"/>
    <col min="2" max="2" width="15.140625" style="1" customWidth="1"/>
    <col min="3" max="3" width="25.5703125" style="1" customWidth="1"/>
    <col min="4" max="4" width="16" style="3" customWidth="1"/>
    <col min="5" max="5" width="19.28515625" style="2" customWidth="1"/>
    <col min="6" max="6" width="16.140625" style="2" customWidth="1"/>
    <col min="7" max="7" width="18.42578125" style="2" customWidth="1"/>
    <col min="8" max="8" width="16.140625" style="11" customWidth="1"/>
    <col min="9" max="9" width="22.5703125" style="2" customWidth="1"/>
    <col min="10" max="10" width="23.5703125" style="11" customWidth="1"/>
    <col min="11" max="11" width="23" style="2" customWidth="1"/>
    <col min="12" max="12" width="23.5703125" style="1" bestFit="1" customWidth="1"/>
    <col min="13" max="13" width="17.28515625" style="1" customWidth="1"/>
    <col min="14" max="14" width="3.85546875" style="1" customWidth="1"/>
    <col min="15" max="15" width="13.5703125" style="1" customWidth="1"/>
    <col min="16" max="16" width="24.7109375" style="1" customWidth="1"/>
    <col min="17" max="17" width="1.140625" style="1" customWidth="1"/>
    <col min="18" max="18" width="3.140625" style="1" customWidth="1"/>
    <col min="19" max="19" width="11.42578125" style="1"/>
    <col min="20" max="20" width="15.5703125" style="1" bestFit="1" customWidth="1"/>
    <col min="21" max="22" width="11.42578125" style="1"/>
    <col min="23" max="23" width="14.7109375" style="1" bestFit="1" customWidth="1"/>
    <col min="24" max="24" width="16.140625" style="1" bestFit="1" customWidth="1"/>
    <col min="25" max="25" width="11.42578125" style="1"/>
    <col min="26" max="26" width="17.85546875" style="1" bestFit="1" customWidth="1"/>
    <col min="27" max="16384" width="11.42578125" style="1"/>
  </cols>
  <sheetData>
    <row r="2" spans="1:17" ht="46.5" customHeight="1" x14ac:dyDescent="0.7">
      <c r="A2" s="534" t="s">
        <v>0</v>
      </c>
      <c r="B2" s="534"/>
      <c r="C2" s="534"/>
      <c r="D2" s="534"/>
      <c r="E2" s="534"/>
      <c r="F2" s="534"/>
      <c r="G2" s="534"/>
      <c r="H2" s="534"/>
      <c r="I2" s="534"/>
      <c r="J2" s="534"/>
      <c r="K2" s="534"/>
      <c r="L2" s="534"/>
      <c r="M2" s="534"/>
      <c r="N2" s="534"/>
      <c r="O2" s="534"/>
      <c r="P2" s="534"/>
    </row>
    <row r="3" spans="1:17" ht="7.5" customHeight="1" x14ac:dyDescent="0.3">
      <c r="A3" s="4"/>
      <c r="B3" s="4"/>
      <c r="C3" s="4"/>
      <c r="D3" s="7"/>
      <c r="E3" s="9"/>
      <c r="F3" s="9"/>
      <c r="G3" s="9"/>
      <c r="H3" s="10"/>
      <c r="I3" s="9"/>
      <c r="J3" s="10"/>
      <c r="K3" s="12"/>
      <c r="L3" s="5"/>
      <c r="M3" s="5"/>
      <c r="N3" s="5"/>
      <c r="O3" s="5"/>
      <c r="P3" s="5"/>
    </row>
    <row r="4" spans="1:17" ht="21" x14ac:dyDescent="0.35">
      <c r="A4" s="535" t="s">
        <v>22</v>
      </c>
      <c r="B4" s="535"/>
      <c r="C4" s="535"/>
      <c r="D4" s="535"/>
      <c r="E4" s="535"/>
      <c r="F4" s="535"/>
      <c r="G4" s="535"/>
      <c r="H4" s="535"/>
      <c r="I4" s="535"/>
      <c r="J4" s="535"/>
      <c r="K4" s="535"/>
      <c r="L4" s="535"/>
      <c r="M4" s="535"/>
      <c r="N4" s="535"/>
      <c r="O4" s="535"/>
      <c r="P4" s="535"/>
    </row>
    <row r="5" spans="1:17" ht="8.25" customHeight="1" x14ac:dyDescent="0.35">
      <c r="A5" s="20"/>
      <c r="B5" s="20"/>
      <c r="C5" s="20"/>
      <c r="D5" s="21"/>
      <c r="E5" s="22"/>
      <c r="F5" s="22"/>
      <c r="G5" s="22"/>
      <c r="H5" s="23"/>
      <c r="I5" s="22"/>
      <c r="J5" s="23"/>
      <c r="K5" s="22"/>
      <c r="L5" s="20"/>
      <c r="M5" s="20"/>
      <c r="N5" s="20"/>
      <c r="O5" s="20"/>
      <c r="P5" s="20"/>
    </row>
    <row r="6" spans="1:17" ht="18.75" customHeight="1" x14ac:dyDescent="0.35">
      <c r="A6" s="536" t="s">
        <v>1</v>
      </c>
      <c r="B6" s="536"/>
      <c r="C6" s="62">
        <v>2024</v>
      </c>
      <c r="D6" s="13"/>
      <c r="E6" s="538" t="s">
        <v>8</v>
      </c>
      <c r="F6" s="538"/>
      <c r="G6" s="538"/>
      <c r="H6" s="538"/>
      <c r="I6" s="538"/>
      <c r="J6" s="538"/>
      <c r="K6" s="538"/>
      <c r="L6" s="538"/>
      <c r="M6" s="538"/>
      <c r="N6" s="538"/>
      <c r="O6" s="538"/>
      <c r="P6" s="538"/>
      <c r="Q6" s="17"/>
    </row>
    <row r="7" spans="1:17" ht="18.75" customHeight="1" x14ac:dyDescent="0.35">
      <c r="A7" s="48"/>
      <c r="B7" s="48" t="s">
        <v>20</v>
      </c>
      <c r="C7" s="62" t="s">
        <v>219</v>
      </c>
      <c r="D7" s="13"/>
      <c r="E7" s="538"/>
      <c r="F7" s="538"/>
      <c r="G7" s="538"/>
      <c r="H7" s="538"/>
      <c r="I7" s="538"/>
      <c r="J7" s="538"/>
      <c r="K7" s="538"/>
      <c r="L7" s="538"/>
      <c r="M7" s="538"/>
      <c r="N7" s="538"/>
      <c r="O7" s="538"/>
      <c r="P7" s="538"/>
      <c r="Q7" s="17"/>
    </row>
    <row r="8" spans="1:17" ht="23.25" x14ac:dyDescent="0.35">
      <c r="A8" s="536" t="s">
        <v>3</v>
      </c>
      <c r="B8" s="536"/>
      <c r="C8" s="62">
        <v>11130008</v>
      </c>
      <c r="D8" s="13"/>
      <c r="E8" s="538"/>
      <c r="F8" s="538"/>
      <c r="G8" s="538"/>
      <c r="H8" s="538"/>
      <c r="I8" s="538"/>
      <c r="J8" s="538"/>
      <c r="K8" s="538"/>
      <c r="L8" s="538"/>
      <c r="M8" s="538"/>
      <c r="N8" s="538"/>
      <c r="O8" s="538"/>
      <c r="P8" s="538"/>
      <c r="Q8" s="17"/>
    </row>
    <row r="9" spans="1:17" ht="23.25" x14ac:dyDescent="0.35">
      <c r="A9" s="536" t="s">
        <v>2</v>
      </c>
      <c r="B9" s="536"/>
      <c r="C9" s="62" t="s">
        <v>89</v>
      </c>
      <c r="D9" s="13"/>
      <c r="E9" s="538"/>
      <c r="F9" s="538"/>
      <c r="G9" s="538"/>
      <c r="H9" s="538"/>
      <c r="I9" s="538"/>
      <c r="J9" s="538"/>
      <c r="K9" s="538"/>
      <c r="L9" s="538"/>
      <c r="M9" s="538"/>
      <c r="N9" s="538"/>
      <c r="O9" s="538"/>
      <c r="P9" s="538"/>
      <c r="Q9" s="17"/>
    </row>
    <row r="10" spans="1:17" ht="24.75" customHeight="1" x14ac:dyDescent="0.3">
      <c r="A10" s="537" t="s">
        <v>4</v>
      </c>
      <c r="B10" s="537"/>
      <c r="C10" s="62" t="s">
        <v>90</v>
      </c>
      <c r="D10" s="6"/>
      <c r="E10" s="538"/>
      <c r="F10" s="538"/>
      <c r="G10" s="538"/>
      <c r="H10" s="538"/>
      <c r="I10" s="538"/>
      <c r="J10" s="538"/>
      <c r="K10" s="538"/>
      <c r="L10" s="538"/>
      <c r="M10" s="538"/>
      <c r="N10" s="538"/>
      <c r="O10" s="538"/>
      <c r="P10" s="538"/>
      <c r="Q10" s="17"/>
    </row>
    <row r="11" spans="1:17" ht="21" customHeight="1" x14ac:dyDescent="0.3">
      <c r="A11" s="19"/>
      <c r="B11" s="19" t="s">
        <v>13</v>
      </c>
      <c r="C11" s="62" t="s">
        <v>91</v>
      </c>
      <c r="D11" s="6"/>
      <c r="E11" s="538"/>
      <c r="F11" s="538"/>
      <c r="G11" s="538"/>
      <c r="H11" s="538"/>
      <c r="I11" s="538"/>
      <c r="J11" s="538"/>
      <c r="K11" s="538"/>
      <c r="L11" s="538"/>
      <c r="M11" s="538"/>
      <c r="N11" s="538"/>
      <c r="O11" s="538"/>
      <c r="P11" s="538"/>
      <c r="Q11" s="17"/>
    </row>
    <row r="12" spans="1:17" ht="21" customHeight="1" x14ac:dyDescent="0.3">
      <c r="A12" s="19"/>
      <c r="B12" s="19"/>
      <c r="C12" s="63"/>
      <c r="D12" s="6"/>
      <c r="E12" s="538"/>
      <c r="F12" s="538"/>
      <c r="G12" s="538"/>
      <c r="H12" s="538"/>
      <c r="I12" s="538"/>
      <c r="J12" s="538"/>
      <c r="K12" s="538"/>
      <c r="L12" s="538"/>
      <c r="M12" s="538"/>
      <c r="N12" s="538"/>
      <c r="O12" s="538"/>
      <c r="P12" s="538"/>
      <c r="Q12" s="17"/>
    </row>
    <row r="13" spans="1:17" ht="21" customHeight="1" x14ac:dyDescent="0.3">
      <c r="A13" s="19"/>
      <c r="B13" s="19"/>
      <c r="C13" s="8"/>
      <c r="D13" s="6"/>
      <c r="E13" s="538"/>
      <c r="F13" s="538"/>
      <c r="G13" s="538"/>
      <c r="H13" s="538"/>
      <c r="I13" s="538"/>
      <c r="J13" s="538"/>
      <c r="K13" s="538"/>
      <c r="L13" s="538"/>
      <c r="M13" s="538"/>
      <c r="N13" s="538"/>
      <c r="O13" s="538"/>
      <c r="P13" s="538"/>
      <c r="Q13" s="17"/>
    </row>
    <row r="14" spans="1:17" ht="7.5" customHeight="1" x14ac:dyDescent="0.3">
      <c r="A14" s="4"/>
      <c r="B14" s="4"/>
      <c r="C14" s="4"/>
      <c r="D14" s="7"/>
      <c r="E14" s="9"/>
      <c r="F14" s="9"/>
      <c r="G14" s="9"/>
      <c r="H14" s="10"/>
      <c r="I14" s="9"/>
      <c r="J14" s="10"/>
      <c r="K14" s="12"/>
      <c r="L14" s="5"/>
      <c r="M14" s="5"/>
      <c r="N14" s="5"/>
      <c r="O14" s="5"/>
      <c r="P14" s="5"/>
    </row>
    <row r="15" spans="1:17" ht="21" x14ac:dyDescent="0.35">
      <c r="A15" s="535" t="s">
        <v>23</v>
      </c>
      <c r="B15" s="535"/>
      <c r="C15" s="535"/>
      <c r="D15" s="535"/>
      <c r="E15" s="535"/>
      <c r="F15" s="535"/>
      <c r="G15" s="535"/>
      <c r="H15" s="535"/>
      <c r="I15" s="535"/>
      <c r="J15" s="535"/>
      <c r="K15" s="535"/>
      <c r="L15" s="535"/>
      <c r="M15" s="535"/>
      <c r="N15" s="535"/>
      <c r="O15" s="535"/>
      <c r="P15" s="535"/>
    </row>
    <row r="16" spans="1:17" ht="8.25" customHeight="1" x14ac:dyDescent="0.35">
      <c r="A16" s="20"/>
      <c r="B16" s="20"/>
      <c r="C16" s="20"/>
      <c r="D16" s="21"/>
      <c r="E16" s="22"/>
      <c r="F16" s="22"/>
      <c r="G16" s="22"/>
      <c r="H16" s="23"/>
      <c r="I16" s="22"/>
      <c r="J16" s="23"/>
      <c r="K16" s="22"/>
      <c r="L16" s="20"/>
      <c r="M16" s="20"/>
      <c r="N16" s="20"/>
      <c r="O16" s="20"/>
      <c r="P16" s="20"/>
    </row>
    <row r="17" spans="1:32" ht="42" x14ac:dyDescent="0.35">
      <c r="A17" s="59" t="s">
        <v>24</v>
      </c>
      <c r="B17" s="514" t="s">
        <v>21</v>
      </c>
      <c r="C17" s="539"/>
      <c r="D17" s="540"/>
      <c r="E17" s="47" t="s">
        <v>25</v>
      </c>
      <c r="F17" s="514" t="s">
        <v>26</v>
      </c>
      <c r="G17" s="511"/>
      <c r="H17" s="511"/>
      <c r="I17" s="512"/>
      <c r="J17" s="514" t="s">
        <v>27</v>
      </c>
      <c r="K17" s="511"/>
      <c r="L17" s="511"/>
      <c r="M17" s="512"/>
      <c r="N17" s="514" t="s">
        <v>28</v>
      </c>
      <c r="O17" s="511"/>
      <c r="P17" s="512"/>
      <c r="AD17" s="1">
        <v>15000</v>
      </c>
      <c r="AF17" s="1">
        <v>25250</v>
      </c>
    </row>
    <row r="18" spans="1:32" ht="50.25" customHeight="1" x14ac:dyDescent="0.3">
      <c r="A18" s="367" t="s">
        <v>103</v>
      </c>
      <c r="B18" s="368"/>
      <c r="C18" s="369"/>
      <c r="D18" s="366"/>
      <c r="E18" s="367"/>
      <c r="F18" s="366" t="s">
        <v>9</v>
      </c>
      <c r="G18" s="367" t="s">
        <v>10</v>
      </c>
      <c r="H18" s="367" t="s">
        <v>11</v>
      </c>
      <c r="I18" s="367" t="s">
        <v>12</v>
      </c>
      <c r="J18" s="367" t="s">
        <v>9</v>
      </c>
      <c r="K18" s="367" t="s">
        <v>10</v>
      </c>
      <c r="L18" s="367" t="s">
        <v>11</v>
      </c>
      <c r="M18" s="367" t="s">
        <v>12</v>
      </c>
      <c r="N18" s="577" t="s">
        <v>178</v>
      </c>
      <c r="O18" s="578"/>
      <c r="P18" s="579"/>
      <c r="AD18" s="1">
        <v>21900</v>
      </c>
      <c r="AF18" s="1">
        <v>25250</v>
      </c>
    </row>
    <row r="19" spans="1:32" ht="39.75" customHeight="1" x14ac:dyDescent="0.3">
      <c r="A19" s="548" t="s">
        <v>92</v>
      </c>
      <c r="B19" s="544" t="s">
        <v>98</v>
      </c>
      <c r="C19" s="544"/>
      <c r="D19" s="544"/>
      <c r="E19" s="143" t="s">
        <v>140</v>
      </c>
      <c r="F19" s="248">
        <f>320+3311</f>
        <v>3631</v>
      </c>
      <c r="G19" s="248">
        <v>737</v>
      </c>
      <c r="H19" s="248">
        <v>574</v>
      </c>
      <c r="I19" s="386">
        <f>H19/G19*100</f>
        <v>77.883310719131615</v>
      </c>
      <c r="J19" s="150">
        <v>265236250</v>
      </c>
      <c r="K19" s="449">
        <f>Hoja1!C8</f>
        <v>47635145</v>
      </c>
      <c r="L19" s="144">
        <f>'IAFF (2)'!N134</f>
        <v>45340419.189999998</v>
      </c>
      <c r="M19" s="205">
        <f>L19/K19</f>
        <v>0.95182704261737838</v>
      </c>
      <c r="N19" s="580"/>
      <c r="O19" s="581"/>
      <c r="P19" s="582"/>
      <c r="Z19" s="146" t="e">
        <f>#REF!-K33</f>
        <v>#REF!</v>
      </c>
      <c r="AD19" s="1">
        <v>15000</v>
      </c>
      <c r="AF19" s="1">
        <v>25250</v>
      </c>
    </row>
    <row r="20" spans="1:32" ht="39.75" customHeight="1" x14ac:dyDescent="0.3">
      <c r="A20" s="549"/>
      <c r="B20" s="544" t="s">
        <v>186</v>
      </c>
      <c r="C20" s="544"/>
      <c r="D20" s="544"/>
      <c r="E20" s="143" t="s">
        <v>97</v>
      </c>
      <c r="F20" s="248">
        <f>188+162</f>
        <v>350</v>
      </c>
      <c r="G20" s="248">
        <v>0</v>
      </c>
      <c r="H20" s="248">
        <v>0</v>
      </c>
      <c r="I20" s="386">
        <v>0</v>
      </c>
      <c r="J20" s="150">
        <v>43120000</v>
      </c>
      <c r="K20" s="449">
        <v>0</v>
      </c>
      <c r="L20" s="144">
        <f>Hoja1!D11+Hoja1!D15+Hoja1!D12</f>
        <v>0</v>
      </c>
      <c r="M20" s="205">
        <v>0</v>
      </c>
      <c r="N20" s="580"/>
      <c r="O20" s="581"/>
      <c r="P20" s="582"/>
      <c r="Z20" s="146"/>
      <c r="AD20" s="1">
        <v>21900</v>
      </c>
      <c r="AF20" s="1">
        <v>25250</v>
      </c>
    </row>
    <row r="21" spans="1:32" ht="39.75" hidden="1" customHeight="1" x14ac:dyDescent="0.3">
      <c r="A21" s="549"/>
      <c r="B21" s="557"/>
      <c r="C21" s="557"/>
      <c r="D21" s="557"/>
      <c r="E21" s="143"/>
      <c r="F21" s="248"/>
      <c r="G21" s="248"/>
      <c r="H21" s="248"/>
      <c r="I21" s="386" t="e">
        <f t="shared" ref="I21:I22" si="0">H21/G21*100</f>
        <v>#DIV/0!</v>
      </c>
      <c r="J21" s="150"/>
      <c r="K21" s="449"/>
      <c r="L21" s="144"/>
      <c r="M21" s="205"/>
      <c r="N21" s="580"/>
      <c r="O21" s="581"/>
      <c r="P21" s="582"/>
      <c r="Z21" s="146"/>
    </row>
    <row r="22" spans="1:32" ht="39.75" customHeight="1" x14ac:dyDescent="0.3">
      <c r="A22" s="549"/>
      <c r="B22" s="147" t="s">
        <v>187</v>
      </c>
      <c r="C22" s="148"/>
      <c r="D22" s="149"/>
      <c r="E22" s="143" t="s">
        <v>188</v>
      </c>
      <c r="F22" s="248">
        <v>182140</v>
      </c>
      <c r="G22" s="248">
        <v>75000</v>
      </c>
      <c r="H22" s="248">
        <f>2600+34445+30075+7880</f>
        <v>75000</v>
      </c>
      <c r="I22" s="386">
        <f t="shared" si="0"/>
        <v>100</v>
      </c>
      <c r="J22" s="150">
        <v>30000000</v>
      </c>
      <c r="K22" s="449">
        <f>+Hoja1!C14</f>
        <v>20951590</v>
      </c>
      <c r="L22" s="144">
        <f>'IAFF (2)'!N136</f>
        <v>20951590</v>
      </c>
      <c r="M22" s="205">
        <f>L22/K22</f>
        <v>1</v>
      </c>
      <c r="N22" s="580"/>
      <c r="O22" s="581"/>
      <c r="P22" s="582"/>
      <c r="Z22" s="146"/>
    </row>
    <row r="23" spans="1:32" ht="39.75" customHeight="1" x14ac:dyDescent="0.3">
      <c r="A23" s="549"/>
      <c r="B23" s="147" t="s">
        <v>142</v>
      </c>
      <c r="C23" s="148"/>
      <c r="D23" s="149"/>
      <c r="E23" s="145" t="s">
        <v>188</v>
      </c>
      <c r="F23" s="248">
        <v>1</v>
      </c>
      <c r="G23" s="248">
        <v>1</v>
      </c>
      <c r="H23" s="248">
        <v>1</v>
      </c>
      <c r="I23" s="386" t="s">
        <v>198</v>
      </c>
      <c r="J23" s="150">
        <v>26439995</v>
      </c>
      <c r="K23" s="449">
        <f>+Hoja1!C18</f>
        <v>373546.93</v>
      </c>
      <c r="L23" s="144">
        <f>+Hoja1!D18</f>
        <v>958656.72</v>
      </c>
      <c r="M23" s="205">
        <f>L23/K23</f>
        <v>2.566362197114028</v>
      </c>
      <c r="N23" s="580"/>
      <c r="O23" s="581"/>
      <c r="P23" s="582"/>
      <c r="AD23" s="1">
        <v>15000</v>
      </c>
      <c r="AF23" s="1">
        <v>25250</v>
      </c>
    </row>
    <row r="24" spans="1:32" ht="39.75" customHeight="1" x14ac:dyDescent="0.3">
      <c r="A24" s="549"/>
      <c r="B24" s="545" t="s">
        <v>146</v>
      </c>
      <c r="C24" s="546"/>
      <c r="D24" s="547"/>
      <c r="E24" s="145" t="s">
        <v>93</v>
      </c>
      <c r="F24" s="248">
        <v>319</v>
      </c>
      <c r="G24" s="248">
        <v>0</v>
      </c>
      <c r="H24" s="248">
        <v>0</v>
      </c>
      <c r="I24" s="386">
        <v>0</v>
      </c>
      <c r="J24" s="150">
        <v>10919370</v>
      </c>
      <c r="K24" s="449">
        <v>0</v>
      </c>
      <c r="L24" s="144">
        <v>0</v>
      </c>
      <c r="M24" s="205">
        <v>0</v>
      </c>
      <c r="N24" s="580"/>
      <c r="O24" s="581"/>
      <c r="P24" s="582"/>
      <c r="AD24" s="1">
        <v>21900</v>
      </c>
      <c r="AF24" s="1">
        <v>25250</v>
      </c>
    </row>
    <row r="25" spans="1:32" ht="38.25" customHeight="1" x14ac:dyDescent="0.3">
      <c r="A25" s="370" t="s">
        <v>110</v>
      </c>
      <c r="B25" s="327"/>
      <c r="C25" s="328"/>
      <c r="D25" s="329"/>
      <c r="E25" s="330"/>
      <c r="F25" s="426"/>
      <c r="G25" s="426"/>
      <c r="H25" s="426"/>
      <c r="I25" s="162"/>
      <c r="J25" s="237"/>
      <c r="K25" s="450"/>
      <c r="L25" s="162"/>
      <c r="M25" s="162"/>
      <c r="N25" s="580"/>
      <c r="O25" s="581"/>
      <c r="P25" s="582"/>
      <c r="AD25" s="1">
        <v>21000</v>
      </c>
      <c r="AF25" s="1">
        <v>35999.65</v>
      </c>
    </row>
    <row r="26" spans="1:32" ht="41.25" hidden="1" customHeight="1" x14ac:dyDescent="0.3">
      <c r="A26" s="548" t="s">
        <v>100</v>
      </c>
      <c r="B26" s="550"/>
      <c r="C26" s="551"/>
      <c r="D26" s="552"/>
      <c r="E26" s="145"/>
      <c r="F26" s="248"/>
      <c r="G26" s="248"/>
      <c r="H26" s="248"/>
      <c r="I26" s="386"/>
      <c r="J26" s="150"/>
      <c r="K26" s="449">
        <f>J26</f>
        <v>0</v>
      </c>
      <c r="L26" s="144"/>
      <c r="M26" s="205" t="e">
        <f t="shared" ref="M26" si="1">L26/K26</f>
        <v>#DIV/0!</v>
      </c>
      <c r="N26" s="580"/>
      <c r="O26" s="581"/>
      <c r="P26" s="582"/>
      <c r="AD26" s="1">
        <v>15000</v>
      </c>
      <c r="AF26" s="1">
        <v>35999.65</v>
      </c>
    </row>
    <row r="27" spans="1:32" ht="59.25" customHeight="1" x14ac:dyDescent="0.3">
      <c r="A27" s="549"/>
      <c r="B27" s="541" t="s">
        <v>189</v>
      </c>
      <c r="C27" s="542"/>
      <c r="D27" s="543"/>
      <c r="E27" s="145" t="s">
        <v>93</v>
      </c>
      <c r="F27" s="248">
        <v>1</v>
      </c>
      <c r="G27" s="248">
        <v>0</v>
      </c>
      <c r="H27" s="248">
        <v>0</v>
      </c>
      <c r="I27" s="386"/>
      <c r="J27" s="150">
        <v>30000000</v>
      </c>
      <c r="K27" s="449">
        <f>+Hoja1!C28</f>
        <v>0</v>
      </c>
      <c r="L27" s="144">
        <v>0</v>
      </c>
      <c r="M27" s="205">
        <v>0</v>
      </c>
      <c r="N27" s="580"/>
      <c r="O27" s="581"/>
      <c r="P27" s="582"/>
    </row>
    <row r="28" spans="1:32" ht="18.75" customHeight="1" x14ac:dyDescent="0.3">
      <c r="A28" s="549"/>
      <c r="B28" s="147" t="s">
        <v>197</v>
      </c>
      <c r="C28" s="148"/>
      <c r="D28" s="149"/>
      <c r="E28" s="145"/>
      <c r="F28" s="248">
        <v>0</v>
      </c>
      <c r="G28" s="248">
        <v>385</v>
      </c>
      <c r="H28" s="248">
        <v>385</v>
      </c>
      <c r="I28" s="443">
        <f>G28/H28</f>
        <v>1</v>
      </c>
      <c r="J28" s="150">
        <v>0</v>
      </c>
      <c r="K28" s="449">
        <v>7682675</v>
      </c>
      <c r="L28" s="144">
        <f>Hoja1!D44</f>
        <v>7682675</v>
      </c>
      <c r="M28" s="205">
        <f>L28/K28</f>
        <v>1</v>
      </c>
      <c r="N28" s="580"/>
      <c r="O28" s="581"/>
      <c r="P28" s="582"/>
      <c r="AD28" s="1">
        <v>21900</v>
      </c>
      <c r="AF28" s="1">
        <v>35999.65</v>
      </c>
    </row>
    <row r="29" spans="1:32" x14ac:dyDescent="0.3">
      <c r="A29" s="556"/>
      <c r="B29" s="541" t="s">
        <v>139</v>
      </c>
      <c r="C29" s="542"/>
      <c r="D29" s="543"/>
      <c r="E29" s="145" t="s">
        <v>120</v>
      </c>
      <c r="F29" s="248">
        <v>1265</v>
      </c>
      <c r="G29" s="248">
        <v>824</v>
      </c>
      <c r="H29" s="248">
        <v>621</v>
      </c>
      <c r="I29" s="443">
        <f>+H29/G29</f>
        <v>0.75364077669902918</v>
      </c>
      <c r="J29" s="150">
        <v>2288000</v>
      </c>
      <c r="K29" s="449">
        <f>+Hoja1!C54+Hoja1!C62</f>
        <v>2143790</v>
      </c>
      <c r="L29" s="144">
        <f>SUM(Hoja1!D60:D61)+Hoja1!D47</f>
        <v>1551240</v>
      </c>
      <c r="M29" s="205">
        <f>L29/K29</f>
        <v>0.72359699410856471</v>
      </c>
      <c r="N29" s="580"/>
      <c r="O29" s="581"/>
      <c r="P29" s="582"/>
      <c r="AD29" s="1">
        <v>15000</v>
      </c>
      <c r="AF29" s="1">
        <v>35999.65</v>
      </c>
    </row>
    <row r="30" spans="1:32" x14ac:dyDescent="0.3">
      <c r="A30" s="371" t="s">
        <v>114</v>
      </c>
      <c r="B30" s="331"/>
      <c r="C30" s="332"/>
      <c r="D30" s="333"/>
      <c r="E30" s="330"/>
      <c r="F30" s="427"/>
      <c r="G30" s="427"/>
      <c r="H30" s="427"/>
      <c r="I30" s="162"/>
      <c r="J30" s="237"/>
      <c r="K30" s="450"/>
      <c r="L30" s="330"/>
      <c r="M30" s="330"/>
      <c r="N30" s="580"/>
      <c r="O30" s="581"/>
      <c r="P30" s="582"/>
      <c r="AD30" s="1">
        <v>21900</v>
      </c>
      <c r="AF30" s="1">
        <v>10000</v>
      </c>
    </row>
    <row r="31" spans="1:32" ht="59.25" customHeight="1" x14ac:dyDescent="0.3">
      <c r="A31" s="548" t="s">
        <v>94</v>
      </c>
      <c r="B31" s="541" t="s">
        <v>95</v>
      </c>
      <c r="C31" s="542"/>
      <c r="D31" s="543"/>
      <c r="E31" s="145" t="s">
        <v>96</v>
      </c>
      <c r="F31" s="248">
        <v>0</v>
      </c>
      <c r="G31" s="248">
        <v>0</v>
      </c>
      <c r="H31" s="248">
        <v>0</v>
      </c>
      <c r="I31" s="49">
        <v>0</v>
      </c>
      <c r="J31" s="150">
        <v>5902347</v>
      </c>
      <c r="K31" s="449">
        <f>+Hoja1!C84</f>
        <v>4347369.07</v>
      </c>
      <c r="L31" s="398">
        <f>SUM(Hoja1!D65:D83)</f>
        <v>3251403.9499999997</v>
      </c>
      <c r="M31" s="205">
        <f>L31/K31</f>
        <v>0.74790152334593474</v>
      </c>
      <c r="N31" s="580"/>
      <c r="O31" s="581"/>
      <c r="P31" s="582"/>
      <c r="AD31" s="1">
        <v>21000</v>
      </c>
      <c r="AF31" s="1">
        <f>SUM(AF17:AF30)</f>
        <v>305498.59999999998</v>
      </c>
    </row>
    <row r="32" spans="1:32" ht="47.25" customHeight="1" x14ac:dyDescent="0.3">
      <c r="A32" s="556"/>
      <c r="B32" s="553" t="s">
        <v>185</v>
      </c>
      <c r="C32" s="554"/>
      <c r="D32" s="555"/>
      <c r="E32" s="145" t="s">
        <v>96</v>
      </c>
      <c r="F32" s="248">
        <v>0</v>
      </c>
      <c r="G32" s="248">
        <v>0</v>
      </c>
      <c r="H32" s="248">
        <v>0</v>
      </c>
      <c r="I32" s="49">
        <v>0</v>
      </c>
      <c r="J32" s="150">
        <v>111119038</v>
      </c>
      <c r="K32" s="398">
        <f>+Hoja1!C85</f>
        <v>9502598</v>
      </c>
      <c r="L32" s="144">
        <v>0</v>
      </c>
      <c r="M32" s="205">
        <f>L32/K32</f>
        <v>0</v>
      </c>
      <c r="N32" s="580"/>
      <c r="O32" s="581"/>
      <c r="P32" s="582"/>
      <c r="AD32" s="1">
        <f>SUM(AD17:AD31)</f>
        <v>226500</v>
      </c>
    </row>
    <row r="33" spans="1:19" x14ac:dyDescent="0.3">
      <c r="A33" s="141"/>
      <c r="B33" s="14"/>
      <c r="C33" s="51"/>
      <c r="D33" s="50"/>
      <c r="E33" s="18"/>
      <c r="F33" s="428">
        <f>SUM(F19:F32)</f>
        <v>187707</v>
      </c>
      <c r="G33" s="429">
        <f>SUM(G19:G32)</f>
        <v>76947</v>
      </c>
      <c r="H33" s="429">
        <f>SUM(H19:H32)</f>
        <v>76581</v>
      </c>
      <c r="I33" s="387">
        <f>H33/G33*100</f>
        <v>99.524347927794452</v>
      </c>
      <c r="J33" s="151">
        <f>SUM(J19:J32)</f>
        <v>525025000</v>
      </c>
      <c r="K33" s="151">
        <f>SUM(K19:K32)</f>
        <v>92636714</v>
      </c>
      <c r="L33" s="361">
        <f>SUM(L19:L32)</f>
        <v>79735984.859999999</v>
      </c>
      <c r="M33" s="362">
        <f>L33/K33</f>
        <v>0.86073848495964567</v>
      </c>
      <c r="N33" s="51"/>
      <c r="O33" s="51"/>
      <c r="P33" s="50"/>
    </row>
    <row r="34" spans="1:19" ht="7.5" customHeight="1" x14ac:dyDescent="0.35">
      <c r="A34" s="24"/>
      <c r="B34" s="24"/>
      <c r="C34" s="24"/>
      <c r="D34" s="25"/>
      <c r="E34" s="26"/>
      <c r="F34" s="26"/>
      <c r="G34" s="26"/>
      <c r="H34" s="27"/>
      <c r="I34" s="26"/>
      <c r="J34" s="27"/>
      <c r="K34" s="28"/>
      <c r="L34" s="29"/>
      <c r="M34" s="142"/>
      <c r="N34" s="29"/>
      <c r="O34" s="29"/>
      <c r="P34" s="29"/>
    </row>
    <row r="35" spans="1:19" ht="21" x14ac:dyDescent="0.35">
      <c r="A35" s="535" t="s">
        <v>29</v>
      </c>
      <c r="B35" s="535"/>
      <c r="C35" s="535"/>
      <c r="D35" s="535"/>
      <c r="E35" s="535"/>
      <c r="F35" s="535"/>
      <c r="G35" s="535"/>
      <c r="H35" s="535"/>
      <c r="I35" s="535"/>
      <c r="J35" s="535"/>
      <c r="K35" s="535"/>
      <c r="L35" s="535"/>
      <c r="M35" s="535"/>
      <c r="N35" s="535"/>
      <c r="O35" s="535"/>
      <c r="P35" s="535"/>
    </row>
    <row r="36" spans="1:19" ht="8.25" customHeight="1" x14ac:dyDescent="0.35">
      <c r="A36" s="20"/>
      <c r="B36" s="20"/>
      <c r="C36" s="20"/>
      <c r="D36" s="21"/>
      <c r="E36" s="22"/>
      <c r="F36" s="22"/>
      <c r="G36" s="22"/>
      <c r="H36" s="23"/>
      <c r="I36" s="22"/>
      <c r="J36" s="23"/>
      <c r="K36" s="22"/>
      <c r="L36" s="20"/>
      <c r="M36" s="20"/>
      <c r="N36" s="20"/>
      <c r="O36" s="20"/>
      <c r="P36" s="20"/>
    </row>
    <row r="37" spans="1:19" ht="29.25" customHeight="1" x14ac:dyDescent="0.35">
      <c r="A37" s="60"/>
      <c r="B37" s="61"/>
      <c r="C37" s="61"/>
      <c r="D37" s="61"/>
      <c r="E37" s="61"/>
      <c r="F37" s="61"/>
      <c r="G37" s="61"/>
      <c r="H37" s="61"/>
      <c r="I37" s="572" t="s">
        <v>19</v>
      </c>
      <c r="J37" s="573"/>
      <c r="K37" s="573"/>
      <c r="L37" s="573"/>
      <c r="M37" s="573"/>
      <c r="N37" s="573"/>
      <c r="O37" s="573"/>
      <c r="P37" s="574"/>
    </row>
    <row r="38" spans="1:19" ht="60" customHeight="1" x14ac:dyDescent="0.3">
      <c r="A38" s="566" t="s">
        <v>30</v>
      </c>
      <c r="B38" s="566"/>
      <c r="C38" s="566" t="s">
        <v>31</v>
      </c>
      <c r="D38" s="566"/>
      <c r="E38" s="566"/>
      <c r="F38" s="566"/>
      <c r="G38" s="566" t="s">
        <v>51</v>
      </c>
      <c r="H38" s="566"/>
      <c r="I38" s="566" t="s">
        <v>52</v>
      </c>
      <c r="J38" s="566"/>
      <c r="K38" s="566" t="s">
        <v>53</v>
      </c>
      <c r="L38" s="566" t="s">
        <v>54</v>
      </c>
      <c r="M38" s="566" t="s">
        <v>55</v>
      </c>
      <c r="N38" s="566"/>
      <c r="O38" s="566"/>
      <c r="P38" s="566" t="s">
        <v>56</v>
      </c>
    </row>
    <row r="39" spans="1:19" ht="46.5" customHeight="1" thickBot="1" x14ac:dyDescent="0.35">
      <c r="A39" s="567"/>
      <c r="B39" s="567"/>
      <c r="C39" s="567"/>
      <c r="D39" s="567"/>
      <c r="E39" s="567"/>
      <c r="F39" s="567"/>
      <c r="G39" s="567"/>
      <c r="H39" s="567"/>
      <c r="I39" s="567"/>
      <c r="J39" s="567"/>
      <c r="K39" s="583"/>
      <c r="L39" s="583"/>
      <c r="M39" s="567"/>
      <c r="N39" s="567"/>
      <c r="O39" s="567"/>
      <c r="P39" s="567"/>
    </row>
    <row r="40" spans="1:19" ht="80.25" customHeight="1" thickTop="1" thickBot="1" x14ac:dyDescent="0.4">
      <c r="A40" s="558" t="s">
        <v>92</v>
      </c>
      <c r="B40" s="559"/>
      <c r="C40" s="568" t="s">
        <v>98</v>
      </c>
      <c r="D40" s="568"/>
      <c r="E40" s="568"/>
      <c r="F40" s="568"/>
      <c r="G40" s="560">
        <f>+'IAFF (2)'!K58+'IAFF (2)'!K59+'IAFF (2)'!K76+'IAFF (2)'!K77+'IAFF (2)'!K93+'IAFF (2)'!K114+'IAFF (2)'!K134</f>
        <v>8386</v>
      </c>
      <c r="H40" s="561"/>
      <c r="I40" s="560">
        <v>3631</v>
      </c>
      <c r="J40" s="560"/>
      <c r="K40" s="417">
        <v>737</v>
      </c>
      <c r="L40" s="425">
        <f>H19</f>
        <v>574</v>
      </c>
      <c r="M40" s="561" t="s">
        <v>179</v>
      </c>
      <c r="N40" s="561"/>
      <c r="O40" s="561"/>
      <c r="P40" s="447"/>
    </row>
    <row r="41" spans="1:19" ht="36" customHeight="1" thickTop="1" thickBot="1" x14ac:dyDescent="0.4">
      <c r="A41" s="558"/>
      <c r="B41" s="559"/>
      <c r="C41" s="568" t="s">
        <v>144</v>
      </c>
      <c r="D41" s="568"/>
      <c r="E41" s="568"/>
      <c r="F41" s="568"/>
      <c r="G41" s="561">
        <f>+'IAFF (2)'!K54+'IAFF (2)'!K55+'IAFF (2)'!K72+'IAFF (2)'!K73+'IAFF (2)'!K94+'IAFF (2)'!K115</f>
        <v>775</v>
      </c>
      <c r="H41" s="561"/>
      <c r="I41" s="560">
        <v>350</v>
      </c>
      <c r="J41" s="560"/>
      <c r="K41" s="417">
        <v>0</v>
      </c>
      <c r="L41" s="418">
        <f>H20</f>
        <v>0</v>
      </c>
      <c r="M41" s="561" t="s">
        <v>179</v>
      </c>
      <c r="N41" s="561"/>
      <c r="O41" s="561"/>
      <c r="P41" s="416"/>
    </row>
    <row r="42" spans="1:19" ht="36" customHeight="1" thickTop="1" thickBot="1" x14ac:dyDescent="0.4">
      <c r="A42" s="558"/>
      <c r="B42" s="559"/>
      <c r="C42" s="568" t="s">
        <v>187</v>
      </c>
      <c r="D42" s="568"/>
      <c r="E42" s="568"/>
      <c r="F42" s="568"/>
      <c r="G42" s="560">
        <f>+'IAFF (2)'!K116+75000</f>
        <v>182140</v>
      </c>
      <c r="H42" s="561"/>
      <c r="I42" s="560">
        <v>75000</v>
      </c>
      <c r="J42" s="560"/>
      <c r="K42" s="448">
        <f>+I42</f>
        <v>75000</v>
      </c>
      <c r="L42" s="425">
        <f>+H22</f>
        <v>75000</v>
      </c>
      <c r="M42" s="561" t="s">
        <v>179</v>
      </c>
      <c r="N42" s="561"/>
      <c r="O42" s="561"/>
      <c r="P42" s="416"/>
      <c r="S42" s="472">
        <f>+K42-L42</f>
        <v>0</v>
      </c>
    </row>
    <row r="43" spans="1:19" ht="36" customHeight="1" thickTop="1" thickBot="1" x14ac:dyDescent="0.4">
      <c r="A43" s="558"/>
      <c r="B43" s="559"/>
      <c r="C43" s="568" t="s">
        <v>142</v>
      </c>
      <c r="D43" s="568"/>
      <c r="E43" s="568"/>
      <c r="F43" s="568"/>
      <c r="G43" s="561">
        <f>G23</f>
        <v>1</v>
      </c>
      <c r="H43" s="561"/>
      <c r="I43" s="560">
        <f>G43</f>
        <v>1</v>
      </c>
      <c r="J43" s="560"/>
      <c r="K43" s="417">
        <f>G43</f>
        <v>1</v>
      </c>
      <c r="L43" s="425">
        <f>+H23</f>
        <v>1</v>
      </c>
      <c r="M43" s="561" t="s">
        <v>179</v>
      </c>
      <c r="N43" s="561"/>
      <c r="O43" s="561"/>
      <c r="P43" s="416"/>
    </row>
    <row r="44" spans="1:19" ht="46.5" customHeight="1" thickTop="1" thickBot="1" x14ac:dyDescent="0.4">
      <c r="A44" s="558"/>
      <c r="B44" s="559"/>
      <c r="C44" s="562" t="s">
        <v>146</v>
      </c>
      <c r="D44" s="562"/>
      <c r="E44" s="562"/>
      <c r="F44" s="562"/>
      <c r="G44" s="561">
        <v>319</v>
      </c>
      <c r="H44" s="561"/>
      <c r="I44" s="560">
        <v>319</v>
      </c>
      <c r="J44" s="560"/>
      <c r="K44" s="417">
        <v>0</v>
      </c>
      <c r="L44" s="417">
        <v>0</v>
      </c>
      <c r="M44" s="561" t="s">
        <v>179</v>
      </c>
      <c r="N44" s="561"/>
      <c r="O44" s="561"/>
      <c r="P44" s="416"/>
    </row>
    <row r="45" spans="1:19" ht="36" hidden="1" customHeight="1" thickTop="1" thickBot="1" x14ac:dyDescent="0.4">
      <c r="A45" s="419"/>
      <c r="B45" s="420"/>
      <c r="C45" s="568"/>
      <c r="D45" s="568"/>
      <c r="E45" s="568"/>
      <c r="F45" s="568"/>
      <c r="G45" s="417"/>
      <c r="H45" s="417"/>
      <c r="I45" s="425"/>
      <c r="J45" s="481"/>
      <c r="K45" s="418"/>
      <c r="L45" s="418"/>
      <c r="M45" s="561" t="s">
        <v>179</v>
      </c>
      <c r="N45" s="561"/>
      <c r="O45" s="561"/>
      <c r="P45" s="416"/>
    </row>
    <row r="46" spans="1:19" ht="36" hidden="1" customHeight="1" thickTop="1" thickBot="1" x14ac:dyDescent="0.4">
      <c r="A46" s="421"/>
      <c r="B46" s="422"/>
      <c r="C46" s="568"/>
      <c r="D46" s="568"/>
      <c r="E46" s="568"/>
      <c r="F46" s="568"/>
      <c r="G46" s="417"/>
      <c r="H46" s="417"/>
      <c r="I46" s="425"/>
      <c r="J46" s="481"/>
      <c r="K46" s="418"/>
      <c r="L46" s="418"/>
      <c r="M46" s="561" t="s">
        <v>179</v>
      </c>
      <c r="N46" s="561"/>
      <c r="O46" s="561"/>
      <c r="P46" s="416"/>
    </row>
    <row r="47" spans="1:19" ht="36" hidden="1" customHeight="1" thickTop="1" thickBot="1" x14ac:dyDescent="0.4">
      <c r="A47" s="558" t="s">
        <v>143</v>
      </c>
      <c r="B47" s="559"/>
      <c r="C47" s="568"/>
      <c r="D47" s="568"/>
      <c r="E47" s="568"/>
      <c r="F47" s="568"/>
      <c r="G47" s="561"/>
      <c r="H47" s="561"/>
      <c r="I47" s="560"/>
      <c r="J47" s="560"/>
      <c r="K47" s="418"/>
      <c r="L47" s="417">
        <f>H26</f>
        <v>0</v>
      </c>
      <c r="M47" s="561" t="s">
        <v>179</v>
      </c>
      <c r="N47" s="561"/>
      <c r="O47" s="561"/>
      <c r="P47" s="416"/>
    </row>
    <row r="48" spans="1:19" ht="36" customHeight="1" thickTop="1" thickBot="1" x14ac:dyDescent="0.4">
      <c r="A48" s="558"/>
      <c r="B48" s="559"/>
      <c r="C48" s="568" t="s">
        <v>190</v>
      </c>
      <c r="D48" s="568"/>
      <c r="E48" s="568"/>
      <c r="F48" s="568"/>
      <c r="G48" s="560">
        <f>+'IAFF (2)'!K41+'IAFF (2)'!K42+'IAFF (2)'!K81+'IAFF (2)'!K121</f>
        <v>5517005</v>
      </c>
      <c r="H48" s="560"/>
      <c r="I48" s="560">
        <v>0</v>
      </c>
      <c r="J48" s="560"/>
      <c r="K48" s="425">
        <f>G48</f>
        <v>5517005</v>
      </c>
      <c r="L48" s="417">
        <f>H27</f>
        <v>0</v>
      </c>
      <c r="M48" s="561" t="s">
        <v>179</v>
      </c>
      <c r="N48" s="561"/>
      <c r="O48" s="561"/>
      <c r="P48" s="416"/>
    </row>
    <row r="49" spans="1:20" ht="36" customHeight="1" thickTop="1" thickBot="1" x14ac:dyDescent="0.4">
      <c r="A49" s="558"/>
      <c r="B49" s="559"/>
      <c r="C49" s="568" t="s">
        <v>200</v>
      </c>
      <c r="D49" s="568"/>
      <c r="E49" s="568"/>
      <c r="F49" s="568"/>
      <c r="G49" s="560">
        <f>+'IAFF (2)'!K100+'IAFF (2)'!K143</f>
        <v>2281</v>
      </c>
      <c r="H49" s="560"/>
      <c r="I49" s="560">
        <v>0</v>
      </c>
      <c r="J49" s="560"/>
      <c r="K49" s="425">
        <f>G49</f>
        <v>2281</v>
      </c>
      <c r="L49" s="417">
        <f>H28</f>
        <v>385</v>
      </c>
      <c r="M49" s="561" t="s">
        <v>179</v>
      </c>
      <c r="N49" s="561"/>
      <c r="O49" s="561"/>
      <c r="P49" s="416"/>
    </row>
    <row r="50" spans="1:20" ht="36" customHeight="1" thickTop="1" thickBot="1" x14ac:dyDescent="0.4">
      <c r="A50" s="558"/>
      <c r="B50" s="559"/>
      <c r="C50" s="568" t="s">
        <v>141</v>
      </c>
      <c r="D50" s="568"/>
      <c r="E50" s="568"/>
      <c r="F50" s="568"/>
      <c r="G50" s="561">
        <v>8916</v>
      </c>
      <c r="H50" s="561"/>
      <c r="I50" s="560">
        <f>406+287+234+338</f>
        <v>1265</v>
      </c>
      <c r="J50" s="560"/>
      <c r="K50" s="417">
        <v>824</v>
      </c>
      <c r="L50" s="417">
        <f>H29</f>
        <v>621</v>
      </c>
      <c r="M50" s="561" t="s">
        <v>179</v>
      </c>
      <c r="N50" s="561"/>
      <c r="O50" s="561"/>
      <c r="P50" s="416"/>
      <c r="S50" s="1">
        <v>8916</v>
      </c>
      <c r="T50" s="1" t="s">
        <v>204</v>
      </c>
    </row>
    <row r="51" spans="1:20" ht="36" customHeight="1" thickTop="1" thickBot="1" x14ac:dyDescent="0.4">
      <c r="A51" s="558" t="s">
        <v>94</v>
      </c>
      <c r="B51" s="559"/>
      <c r="C51" s="568" t="s">
        <v>95</v>
      </c>
      <c r="D51" s="568"/>
      <c r="E51" s="568"/>
      <c r="F51" s="568"/>
      <c r="G51" s="561" t="s">
        <v>96</v>
      </c>
      <c r="H51" s="561"/>
      <c r="I51" s="570" t="str">
        <f>G51</f>
        <v>N/A</v>
      </c>
      <c r="J51" s="570"/>
      <c r="K51" s="417" t="str">
        <f>G51</f>
        <v>N/A</v>
      </c>
      <c r="L51" s="417">
        <f>H29</f>
        <v>621</v>
      </c>
      <c r="M51" s="561" t="s">
        <v>179</v>
      </c>
      <c r="N51" s="561"/>
      <c r="O51" s="561"/>
      <c r="P51" s="416"/>
    </row>
    <row r="52" spans="1:20" ht="48" customHeight="1" thickTop="1" thickBot="1" x14ac:dyDescent="0.4">
      <c r="A52" s="558"/>
      <c r="B52" s="559"/>
      <c r="C52" s="562" t="s">
        <v>185</v>
      </c>
      <c r="D52" s="562"/>
      <c r="E52" s="562"/>
      <c r="F52" s="562"/>
      <c r="G52" s="561">
        <v>0</v>
      </c>
      <c r="H52" s="561"/>
      <c r="I52" s="570">
        <f>G52</f>
        <v>0</v>
      </c>
      <c r="J52" s="570"/>
      <c r="K52" s="417">
        <f>G52</f>
        <v>0</v>
      </c>
      <c r="L52" s="417">
        <v>0</v>
      </c>
      <c r="M52" s="561" t="s">
        <v>179</v>
      </c>
      <c r="N52" s="561"/>
      <c r="O52" s="561"/>
      <c r="P52" s="416"/>
    </row>
    <row r="53" spans="1:20" ht="36" customHeight="1" thickTop="1" thickBot="1" x14ac:dyDescent="0.4">
      <c r="A53" s="423"/>
      <c r="B53" s="424"/>
      <c r="C53" s="424"/>
      <c r="D53" s="418"/>
      <c r="E53" s="422"/>
      <c r="F53" s="422"/>
      <c r="G53" s="560">
        <f>SUM(G40:H52)</f>
        <v>5719823</v>
      </c>
      <c r="H53" s="560"/>
      <c r="I53" s="560">
        <f>SUM(I40:J52)</f>
        <v>80566</v>
      </c>
      <c r="J53" s="560"/>
      <c r="K53" s="425">
        <f>SUM(K40:K52)</f>
        <v>5595848</v>
      </c>
      <c r="L53" s="417">
        <f>SUM(L40:L52)</f>
        <v>77202</v>
      </c>
      <c r="M53" s="571"/>
      <c r="N53" s="571"/>
      <c r="O53" s="571"/>
      <c r="P53" s="416"/>
    </row>
    <row r="54" spans="1:20" ht="36" customHeight="1" thickTop="1" x14ac:dyDescent="0.35">
      <c r="A54" s="563"/>
      <c r="B54" s="563"/>
      <c r="C54" s="563"/>
      <c r="D54" s="94"/>
      <c r="E54" s="33"/>
      <c r="F54" s="569"/>
      <c r="G54" s="569"/>
      <c r="H54" s="39"/>
      <c r="I54" s="33"/>
      <c r="J54" s="39"/>
      <c r="K54" s="93"/>
      <c r="L54" s="569"/>
      <c r="M54" s="569"/>
      <c r="N54" s="569"/>
      <c r="O54" s="31"/>
      <c r="P54" s="31"/>
    </row>
    <row r="55" spans="1:20" ht="13.5" customHeight="1" x14ac:dyDescent="0.35">
      <c r="A55" s="24"/>
      <c r="B55" s="24"/>
      <c r="C55" s="24"/>
      <c r="D55" s="25"/>
      <c r="E55" s="26"/>
      <c r="F55" s="26"/>
      <c r="G55" s="26"/>
      <c r="H55" s="27"/>
      <c r="I55" s="26"/>
      <c r="J55" s="27"/>
      <c r="K55" s="28"/>
      <c r="L55" s="29"/>
      <c r="M55" s="29"/>
      <c r="N55" s="29"/>
      <c r="O55" s="29"/>
      <c r="P55" s="29"/>
    </row>
    <row r="56" spans="1:20" ht="25.5" customHeight="1" x14ac:dyDescent="0.35">
      <c r="A56" s="494" t="s">
        <v>32</v>
      </c>
      <c r="B56" s="495"/>
      <c r="C56" s="495"/>
      <c r="D56" s="495"/>
      <c r="E56" s="495"/>
      <c r="F56" s="495"/>
      <c r="G56" s="495"/>
      <c r="H56" s="495"/>
      <c r="I56" s="495"/>
      <c r="J56" s="495"/>
      <c r="K56" s="495"/>
      <c r="L56" s="495"/>
      <c r="M56" s="495"/>
      <c r="N56" s="495"/>
      <c r="O56" s="495"/>
      <c r="P56" s="496"/>
    </row>
    <row r="57" spans="1:20" ht="12.75" customHeight="1" x14ac:dyDescent="0.35">
      <c r="A57" s="52"/>
      <c r="B57" s="53"/>
      <c r="C57" s="53"/>
      <c r="D57" s="54"/>
      <c r="E57" s="55"/>
      <c r="F57" s="55"/>
      <c r="G57" s="55"/>
      <c r="H57" s="56"/>
      <c r="I57" s="22"/>
      <c r="J57" s="23"/>
      <c r="K57" s="22"/>
      <c r="L57" s="20"/>
      <c r="M57" s="20"/>
      <c r="N57" s="20"/>
      <c r="O57" s="20"/>
      <c r="P57" s="20"/>
    </row>
    <row r="58" spans="1:20" ht="21" customHeight="1" x14ac:dyDescent="0.35">
      <c r="A58" s="30" t="s">
        <v>5</v>
      </c>
      <c r="B58" s="31"/>
      <c r="C58" s="31"/>
      <c r="D58" s="32"/>
      <c r="E58" s="33"/>
      <c r="F58" s="33"/>
      <c r="G58" s="33"/>
      <c r="H58" s="34"/>
      <c r="I58" s="497" t="s">
        <v>35</v>
      </c>
      <c r="J58" s="498"/>
      <c r="K58" s="498"/>
      <c r="L58" s="498"/>
      <c r="M58" s="498"/>
      <c r="N58" s="498"/>
      <c r="O58" s="498"/>
      <c r="P58" s="499"/>
    </row>
    <row r="59" spans="1:20" ht="31.5" customHeight="1" x14ac:dyDescent="0.35">
      <c r="A59" s="510" t="s">
        <v>33</v>
      </c>
      <c r="B59" s="511"/>
      <c r="C59" s="511"/>
      <c r="D59" s="511"/>
      <c r="E59" s="512"/>
      <c r="F59" s="31"/>
      <c r="G59" s="31"/>
      <c r="H59" s="37"/>
      <c r="I59" s="38"/>
      <c r="J59" s="39"/>
      <c r="K59" s="33"/>
      <c r="L59" s="31"/>
      <c r="M59" s="31"/>
      <c r="N59" s="31"/>
      <c r="O59" s="31"/>
      <c r="P59" s="37"/>
    </row>
    <row r="60" spans="1:20" ht="56.25" customHeight="1" x14ac:dyDescent="0.35">
      <c r="A60" s="504" t="s">
        <v>6</v>
      </c>
      <c r="B60" s="504"/>
      <c r="C60" s="504"/>
      <c r="D60" s="504" t="s">
        <v>7</v>
      </c>
      <c r="E60" s="504"/>
      <c r="F60" s="33"/>
      <c r="G60" s="33"/>
      <c r="H60" s="34"/>
      <c r="I60" s="38"/>
      <c r="J60" s="39"/>
      <c r="K60" s="33"/>
      <c r="L60" s="31"/>
      <c r="M60" s="31"/>
      <c r="N60" s="31"/>
      <c r="O60" s="31"/>
      <c r="P60" s="37"/>
    </row>
    <row r="61" spans="1:20" ht="45" customHeight="1" x14ac:dyDescent="0.35">
      <c r="A61" s="505">
        <v>99.52</v>
      </c>
      <c r="B61" s="506"/>
      <c r="C61" s="507"/>
      <c r="D61" s="508">
        <v>0.505</v>
      </c>
      <c r="E61" s="509"/>
      <c r="F61" s="564" t="s">
        <v>14</v>
      </c>
      <c r="G61" s="565"/>
      <c r="H61" s="388">
        <f>A65-A61</f>
        <v>4.3479277944555861E-3</v>
      </c>
      <c r="I61" s="44"/>
      <c r="J61" s="45"/>
      <c r="K61" s="42"/>
      <c r="L61" s="41"/>
      <c r="M61" s="41"/>
      <c r="N61" s="41"/>
      <c r="O61" s="41"/>
      <c r="P61" s="46"/>
    </row>
    <row r="62" spans="1:20" ht="18.75" customHeight="1" x14ac:dyDescent="0.35">
      <c r="A62" s="35"/>
      <c r="B62" s="36"/>
      <c r="C62" s="36"/>
      <c r="D62" s="40"/>
      <c r="E62" s="40"/>
      <c r="F62" s="526" t="s">
        <v>15</v>
      </c>
      <c r="G62" s="527"/>
      <c r="H62" s="34"/>
      <c r="I62" s="500" t="s">
        <v>36</v>
      </c>
      <c r="J62" s="498"/>
      <c r="K62" s="498"/>
      <c r="L62" s="498"/>
      <c r="M62" s="498"/>
      <c r="N62" s="498"/>
      <c r="O62" s="498"/>
      <c r="P62" s="499"/>
    </row>
    <row r="63" spans="1:20" ht="33" customHeight="1" x14ac:dyDescent="0.3">
      <c r="A63" s="513" t="s">
        <v>34</v>
      </c>
      <c r="B63" s="513"/>
      <c r="C63" s="513"/>
      <c r="D63" s="513"/>
      <c r="E63" s="514"/>
      <c r="F63" s="528"/>
      <c r="G63" s="529"/>
      <c r="H63" s="376">
        <f>+D65-D61</f>
        <v>0.35573848495964566</v>
      </c>
      <c r="I63" s="515" t="s">
        <v>220</v>
      </c>
      <c r="J63" s="516"/>
      <c r="K63" s="516"/>
      <c r="L63" s="516"/>
      <c r="M63" s="516"/>
      <c r="N63" s="516"/>
      <c r="O63" s="516"/>
      <c r="P63" s="517"/>
    </row>
    <row r="64" spans="1:20" ht="56.25" customHeight="1" x14ac:dyDescent="0.35">
      <c r="A64" s="501" t="s">
        <v>6</v>
      </c>
      <c r="B64" s="502"/>
      <c r="C64" s="503"/>
      <c r="D64" s="504" t="s">
        <v>7</v>
      </c>
      <c r="E64" s="504"/>
      <c r="F64" s="33"/>
      <c r="G64" s="33"/>
      <c r="H64" s="34"/>
      <c r="I64" s="515"/>
      <c r="J64" s="516"/>
      <c r="K64" s="516"/>
      <c r="L64" s="516"/>
      <c r="M64" s="516"/>
      <c r="N64" s="516"/>
      <c r="O64" s="516"/>
      <c r="P64" s="517"/>
    </row>
    <row r="65" spans="1:24" ht="56.25" customHeight="1" x14ac:dyDescent="0.35">
      <c r="A65" s="505">
        <f>I33</f>
        <v>99.524347927794452</v>
      </c>
      <c r="B65" s="506"/>
      <c r="C65" s="507"/>
      <c r="D65" s="509">
        <f>M33</f>
        <v>0.86073848495964567</v>
      </c>
      <c r="E65" s="512"/>
      <c r="F65" s="42"/>
      <c r="G65" s="42"/>
      <c r="H65" s="43"/>
      <c r="I65" s="518"/>
      <c r="J65" s="519"/>
      <c r="K65" s="519"/>
      <c r="L65" s="519"/>
      <c r="M65" s="519"/>
      <c r="N65" s="519"/>
      <c r="O65" s="519"/>
      <c r="P65" s="520"/>
    </row>
    <row r="66" spans="1:24" ht="56.25" customHeight="1" x14ac:dyDescent="0.35">
      <c r="A66" s="58" t="s">
        <v>18</v>
      </c>
      <c r="B66" s="31"/>
      <c r="C66" s="31"/>
      <c r="D66" s="32"/>
      <c r="E66" s="33"/>
      <c r="F66" s="33"/>
      <c r="G66" s="33"/>
      <c r="H66" s="39"/>
      <c r="I66" s="33"/>
      <c r="J66" s="39"/>
      <c r="K66" s="33"/>
      <c r="L66" s="31"/>
      <c r="M66" s="31"/>
      <c r="N66" s="31"/>
      <c r="O66" s="31"/>
      <c r="P66" s="31"/>
    </row>
    <row r="67" spans="1:24" ht="56.25" customHeight="1" x14ac:dyDescent="0.35">
      <c r="A67" s="532" t="s">
        <v>63</v>
      </c>
      <c r="B67" s="533"/>
      <c r="C67" s="533"/>
      <c r="D67" s="533"/>
      <c r="E67" s="533"/>
      <c r="F67" s="533"/>
      <c r="G67" s="533"/>
      <c r="H67" s="533"/>
      <c r="I67" s="33"/>
      <c r="J67" s="39"/>
      <c r="K67" s="33"/>
      <c r="L67" s="31"/>
      <c r="M67" s="31"/>
      <c r="N67" s="31"/>
      <c r="O67" s="31"/>
      <c r="P67" s="31"/>
    </row>
    <row r="68" spans="1:24" ht="56.25" customHeight="1" x14ac:dyDescent="0.35">
      <c r="A68" s="501" t="s">
        <v>173</v>
      </c>
      <c r="B68" s="502"/>
      <c r="C68" s="503"/>
      <c r="D68" s="504" t="s">
        <v>174</v>
      </c>
      <c r="E68" s="504"/>
      <c r="F68" s="504"/>
      <c r="G68" s="530" t="s">
        <v>174</v>
      </c>
      <c r="H68" s="531"/>
      <c r="I68" s="473"/>
      <c r="J68" s="39"/>
      <c r="K68" s="33"/>
      <c r="L68" s="31"/>
      <c r="M68" s="31"/>
      <c r="N68" s="31"/>
      <c r="O68" s="31"/>
      <c r="P68" s="31"/>
    </row>
    <row r="69" spans="1:24" ht="56.25" customHeight="1" x14ac:dyDescent="0.35">
      <c r="A69" s="509">
        <f>D69/X69</f>
        <v>0.99336769910600242</v>
      </c>
      <c r="B69" s="524"/>
      <c r="C69" s="525"/>
      <c r="D69" s="521">
        <f>SUM('IAFF (2)'!F152:G158)</f>
        <v>1166710362.5999999</v>
      </c>
      <c r="E69" s="522"/>
      <c r="F69" s="523"/>
      <c r="G69" s="575">
        <f>+D69/I69</f>
        <v>0.99336769910600242</v>
      </c>
      <c r="H69" s="576"/>
      <c r="I69" s="474">
        <f>150000000*7.83</f>
        <v>1174500000</v>
      </c>
      <c r="J69" s="39"/>
      <c r="K69" s="33"/>
      <c r="L69" s="31"/>
      <c r="M69" s="31"/>
      <c r="N69" s="31"/>
      <c r="O69" s="31"/>
      <c r="P69" s="31"/>
      <c r="T69" s="1">
        <v>150000000</v>
      </c>
      <c r="W69" s="1">
        <v>150000000</v>
      </c>
      <c r="X69" s="1">
        <f>W69*7.83</f>
        <v>1174500000</v>
      </c>
    </row>
    <row r="70" spans="1:24" ht="56.25" customHeight="1" x14ac:dyDescent="0.3">
      <c r="C70" s="1" t="s">
        <v>207</v>
      </c>
      <c r="T70" s="1">
        <f>T69*7.7474</f>
        <v>1162110000</v>
      </c>
    </row>
    <row r="71" spans="1:24" ht="56.25" customHeight="1" x14ac:dyDescent="0.3">
      <c r="B71" s="57"/>
      <c r="C71" s="15"/>
      <c r="D71" s="15"/>
      <c r="E71" s="15"/>
      <c r="F71" s="16"/>
      <c r="G71" s="1"/>
      <c r="H71" s="1"/>
      <c r="I71" s="1"/>
      <c r="J71" s="57"/>
      <c r="K71" s="15"/>
      <c r="L71" s="15"/>
      <c r="M71" s="15"/>
      <c r="N71" s="15"/>
      <c r="O71" s="16"/>
    </row>
    <row r="72" spans="1:24" ht="56.25" customHeight="1" x14ac:dyDescent="0.3">
      <c r="B72" s="491" t="s">
        <v>16</v>
      </c>
      <c r="C72" s="492"/>
      <c r="D72" s="492"/>
      <c r="E72" s="492"/>
      <c r="F72" s="493"/>
      <c r="J72" s="491" t="s">
        <v>17</v>
      </c>
      <c r="K72" s="492"/>
      <c r="L72" s="492"/>
      <c r="M72" s="492"/>
      <c r="N72" s="492"/>
      <c r="O72" s="493"/>
    </row>
  </sheetData>
  <mergeCells count="117">
    <mergeCell ref="I37:P37"/>
    <mergeCell ref="C40:F40"/>
    <mergeCell ref="G69:H69"/>
    <mergeCell ref="A31:A32"/>
    <mergeCell ref="M44:O44"/>
    <mergeCell ref="C45:F45"/>
    <mergeCell ref="A47:B50"/>
    <mergeCell ref="G47:H47"/>
    <mergeCell ref="M41:O41"/>
    <mergeCell ref="I41:J41"/>
    <mergeCell ref="I43:J43"/>
    <mergeCell ref="N18:P32"/>
    <mergeCell ref="M45:O45"/>
    <mergeCell ref="M46:O46"/>
    <mergeCell ref="M48:O48"/>
    <mergeCell ref="I48:J48"/>
    <mergeCell ref="C50:F50"/>
    <mergeCell ref="G50:H50"/>
    <mergeCell ref="M47:O47"/>
    <mergeCell ref="K38:K39"/>
    <mergeCell ref="L38:L39"/>
    <mergeCell ref="M38:O39"/>
    <mergeCell ref="M40:O40"/>
    <mergeCell ref="G43:H43"/>
    <mergeCell ref="G44:H44"/>
    <mergeCell ref="L54:N54"/>
    <mergeCell ref="G53:H53"/>
    <mergeCell ref="I53:J53"/>
    <mergeCell ref="M53:O53"/>
    <mergeCell ref="G51:H51"/>
    <mergeCell ref="G52:H52"/>
    <mergeCell ref="I42:J42"/>
    <mergeCell ref="M42:O42"/>
    <mergeCell ref="I52:J52"/>
    <mergeCell ref="M52:O52"/>
    <mergeCell ref="P38:P39"/>
    <mergeCell ref="I38:J39"/>
    <mergeCell ref="I47:J47"/>
    <mergeCell ref="M43:O43"/>
    <mergeCell ref="I44:J44"/>
    <mergeCell ref="I40:J40"/>
    <mergeCell ref="I50:J50"/>
    <mergeCell ref="I51:J51"/>
    <mergeCell ref="M50:O50"/>
    <mergeCell ref="M51:O51"/>
    <mergeCell ref="I49:J49"/>
    <mergeCell ref="M49:O49"/>
    <mergeCell ref="A40:B44"/>
    <mergeCell ref="G40:H40"/>
    <mergeCell ref="G41:H41"/>
    <mergeCell ref="C44:F44"/>
    <mergeCell ref="A54:C54"/>
    <mergeCell ref="F61:G61"/>
    <mergeCell ref="G38:H39"/>
    <mergeCell ref="C38:F39"/>
    <mergeCell ref="A38:B39"/>
    <mergeCell ref="A51:B52"/>
    <mergeCell ref="C41:F41"/>
    <mergeCell ref="C42:F42"/>
    <mergeCell ref="F54:G54"/>
    <mergeCell ref="D60:E60"/>
    <mergeCell ref="G48:H48"/>
    <mergeCell ref="C48:F48"/>
    <mergeCell ref="C46:F46"/>
    <mergeCell ref="C47:F47"/>
    <mergeCell ref="G42:H42"/>
    <mergeCell ref="C49:F49"/>
    <mergeCell ref="G49:H49"/>
    <mergeCell ref="C43:F43"/>
    <mergeCell ref="C51:F51"/>
    <mergeCell ref="C52:F52"/>
    <mergeCell ref="A2:P2"/>
    <mergeCell ref="A15:P15"/>
    <mergeCell ref="A35:P35"/>
    <mergeCell ref="A6:B6"/>
    <mergeCell ref="A8:B8"/>
    <mergeCell ref="A9:B9"/>
    <mergeCell ref="A10:B10"/>
    <mergeCell ref="J17:M17"/>
    <mergeCell ref="N17:P17"/>
    <mergeCell ref="E6:P13"/>
    <mergeCell ref="B17:D17"/>
    <mergeCell ref="F17:I17"/>
    <mergeCell ref="B27:D27"/>
    <mergeCell ref="B29:D29"/>
    <mergeCell ref="B19:D19"/>
    <mergeCell ref="B20:D20"/>
    <mergeCell ref="A4:P4"/>
    <mergeCell ref="B24:D24"/>
    <mergeCell ref="B31:D31"/>
    <mergeCell ref="A19:A24"/>
    <mergeCell ref="B26:D26"/>
    <mergeCell ref="B32:D32"/>
    <mergeCell ref="A26:A29"/>
    <mergeCell ref="B21:D21"/>
    <mergeCell ref="B72:F72"/>
    <mergeCell ref="J72:O72"/>
    <mergeCell ref="A56:P56"/>
    <mergeCell ref="I58:P58"/>
    <mergeCell ref="I62:P62"/>
    <mergeCell ref="A64:C64"/>
    <mergeCell ref="D64:E64"/>
    <mergeCell ref="A61:C61"/>
    <mergeCell ref="D61:E61"/>
    <mergeCell ref="A59:E59"/>
    <mergeCell ref="A63:E63"/>
    <mergeCell ref="A60:C60"/>
    <mergeCell ref="I63:P65"/>
    <mergeCell ref="D69:F69"/>
    <mergeCell ref="A69:C69"/>
    <mergeCell ref="A65:C65"/>
    <mergeCell ref="A68:C68"/>
    <mergeCell ref="D68:F68"/>
    <mergeCell ref="D65:E65"/>
    <mergeCell ref="F62:G63"/>
    <mergeCell ref="G68:H68"/>
    <mergeCell ref="A67:H67"/>
  </mergeCells>
  <printOptions horizontalCentered="1"/>
  <pageMargins left="0.39370078740157483" right="0.11811023622047245" top="0.74803149606299213" bottom="0.74803149606299213" header="0.31496062992125984" footer="0.31496062992125984"/>
  <pageSetup scale="29" orientation="portrait" r:id="rId1"/>
  <rowBreaks count="1" manualBreakCount="1">
    <brk id="72" max="15" man="1"/>
  </rowBreaks>
  <ignoredErrors>
    <ignoredError sqref="I33 K42" 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72"/>
  <sheetViews>
    <sheetView zoomScale="50" zoomScaleNormal="50" zoomScaleSheetLayoutView="40" workbookViewId="0">
      <selection activeCell="C6" sqref="C6"/>
    </sheetView>
  </sheetViews>
  <sheetFormatPr baseColWidth="10" defaultRowHeight="15" x14ac:dyDescent="0.25"/>
  <cols>
    <col min="1" max="1" width="35.85546875" style="323" customWidth="1"/>
    <col min="2" max="3" width="23.85546875" customWidth="1"/>
    <col min="4" max="4" width="11.28515625" customWidth="1"/>
    <col min="5" max="5" width="24.85546875" customWidth="1"/>
    <col min="6" max="11" width="24.28515625" customWidth="1"/>
    <col min="12" max="12" width="24.28515625" style="324" customWidth="1"/>
    <col min="13" max="13" width="30.85546875" bestFit="1" customWidth="1"/>
    <col min="14" max="14" width="30.5703125" bestFit="1" customWidth="1"/>
    <col min="15" max="17" width="24.28515625" customWidth="1"/>
    <col min="18" max="18" width="34.28515625" customWidth="1"/>
    <col min="19" max="19" width="24.28515625" style="324" customWidth="1"/>
    <col min="20" max="20" width="13.140625" customWidth="1"/>
    <col min="21" max="21" width="16" customWidth="1"/>
    <col min="22" max="22" width="17.42578125" customWidth="1"/>
    <col min="23" max="23" width="5" customWidth="1"/>
  </cols>
  <sheetData>
    <row r="1" spans="1:23" s="1" customFormat="1" ht="46.5" customHeight="1" x14ac:dyDescent="0.9">
      <c r="A1" s="626" t="s">
        <v>47</v>
      </c>
      <c r="B1" s="626"/>
      <c r="C1" s="626"/>
      <c r="D1" s="626"/>
      <c r="E1" s="626"/>
      <c r="F1" s="626"/>
      <c r="G1" s="626"/>
      <c r="H1" s="626"/>
      <c r="I1" s="626"/>
      <c r="J1" s="626"/>
      <c r="K1" s="626"/>
      <c r="L1" s="626"/>
      <c r="M1" s="626"/>
      <c r="N1" s="626"/>
      <c r="O1" s="626"/>
      <c r="P1" s="626"/>
      <c r="Q1" s="626"/>
      <c r="R1" s="626"/>
      <c r="S1" s="626"/>
      <c r="T1" s="626"/>
      <c r="U1" s="626"/>
      <c r="V1" s="626"/>
      <c r="W1" s="134"/>
    </row>
    <row r="2" spans="1:23" s="1" customFormat="1" ht="7.5" customHeight="1" x14ac:dyDescent="0.3">
      <c r="A2" s="152"/>
      <c r="B2" s="4"/>
      <c r="C2" s="4"/>
      <c r="D2" s="4"/>
      <c r="E2" s="4"/>
      <c r="F2" s="4"/>
      <c r="G2" s="4"/>
      <c r="H2" s="4"/>
      <c r="I2" s="4"/>
      <c r="J2" s="4"/>
      <c r="K2" s="4"/>
      <c r="L2" s="153"/>
      <c r="M2" s="4"/>
      <c r="N2" s="4"/>
      <c r="O2" s="4"/>
      <c r="P2" s="4"/>
      <c r="Q2" s="4"/>
      <c r="R2" s="4"/>
      <c r="S2" s="153"/>
      <c r="T2" s="4"/>
      <c r="U2" s="4"/>
      <c r="V2" s="4"/>
      <c r="W2" s="4"/>
    </row>
    <row r="3" spans="1:23" s="1" customFormat="1" ht="21" x14ac:dyDescent="0.35">
      <c r="A3" s="535" t="s">
        <v>45</v>
      </c>
      <c r="B3" s="535"/>
      <c r="C3" s="535"/>
      <c r="D3" s="535"/>
      <c r="E3" s="535"/>
      <c r="F3" s="535"/>
      <c r="G3" s="535"/>
      <c r="H3" s="535"/>
      <c r="I3" s="535"/>
      <c r="J3" s="535"/>
      <c r="K3" s="535"/>
      <c r="L3" s="535"/>
      <c r="M3" s="535"/>
      <c r="N3" s="535"/>
      <c r="O3" s="535"/>
      <c r="P3" s="535"/>
      <c r="Q3" s="535"/>
      <c r="R3" s="535"/>
      <c r="S3" s="535"/>
      <c r="T3" s="535"/>
      <c r="U3" s="535"/>
      <c r="V3" s="535"/>
      <c r="W3" s="135"/>
    </row>
    <row r="4" spans="1:23" s="1" customFormat="1" ht="26.25" x14ac:dyDescent="0.4">
      <c r="A4" s="627" t="s">
        <v>1</v>
      </c>
      <c r="B4" s="627"/>
      <c r="C4" s="62">
        <v>2024</v>
      </c>
      <c r="D4" s="13"/>
      <c r="G4" s="628" t="s">
        <v>8</v>
      </c>
      <c r="H4" s="628"/>
      <c r="I4" s="628"/>
      <c r="J4" s="628"/>
      <c r="K4" s="628"/>
      <c r="L4" s="628"/>
      <c r="M4" s="628"/>
      <c r="N4" s="628"/>
      <c r="O4" s="628"/>
      <c r="P4" s="628"/>
      <c r="Q4" s="628"/>
      <c r="R4" s="628"/>
      <c r="S4" s="628"/>
      <c r="T4" s="628"/>
      <c r="U4" s="628"/>
      <c r="V4" s="628"/>
      <c r="W4" s="103"/>
    </row>
    <row r="5" spans="1:23" s="1" customFormat="1" ht="26.25" x14ac:dyDescent="0.4">
      <c r="A5" s="154"/>
      <c r="B5" s="136" t="s">
        <v>20</v>
      </c>
      <c r="C5" s="62" t="s">
        <v>218</v>
      </c>
      <c r="D5" s="13"/>
      <c r="E5" s="69"/>
      <c r="F5" s="69"/>
      <c r="G5" s="628"/>
      <c r="H5" s="628"/>
      <c r="I5" s="628"/>
      <c r="J5" s="628"/>
      <c r="K5" s="628"/>
      <c r="L5" s="628"/>
      <c r="M5" s="628"/>
      <c r="N5" s="628"/>
      <c r="O5" s="628"/>
      <c r="P5" s="628"/>
      <c r="Q5" s="628"/>
      <c r="R5" s="628"/>
      <c r="S5" s="628"/>
      <c r="T5" s="628"/>
      <c r="U5" s="628"/>
      <c r="V5" s="628"/>
      <c r="W5" s="103"/>
    </row>
    <row r="6" spans="1:23" s="1" customFormat="1" ht="26.25" x14ac:dyDescent="0.4">
      <c r="A6" s="627" t="s">
        <v>3</v>
      </c>
      <c r="B6" s="627"/>
      <c r="C6" s="62">
        <v>11130008</v>
      </c>
      <c r="D6" s="13"/>
      <c r="E6" s="69"/>
      <c r="F6" s="69"/>
      <c r="G6" s="628"/>
      <c r="H6" s="628"/>
      <c r="I6" s="628"/>
      <c r="J6" s="628"/>
      <c r="K6" s="628"/>
      <c r="L6" s="628"/>
      <c r="M6" s="628"/>
      <c r="N6" s="628"/>
      <c r="O6" s="628"/>
      <c r="P6" s="628"/>
      <c r="Q6" s="628"/>
      <c r="R6" s="628"/>
      <c r="S6" s="628"/>
      <c r="T6" s="628"/>
      <c r="U6" s="628"/>
      <c r="V6" s="628"/>
      <c r="W6" s="103"/>
    </row>
    <row r="7" spans="1:23" s="1" customFormat="1" ht="26.25" x14ac:dyDescent="0.4">
      <c r="A7" s="627" t="s">
        <v>2</v>
      </c>
      <c r="B7" s="627"/>
      <c r="C7" s="62" t="s">
        <v>89</v>
      </c>
      <c r="D7" s="13"/>
      <c r="E7" s="69"/>
      <c r="F7" s="69"/>
      <c r="G7" s="628"/>
      <c r="H7" s="628"/>
      <c r="I7" s="628"/>
      <c r="J7" s="628"/>
      <c r="K7" s="628"/>
      <c r="L7" s="628"/>
      <c r="M7" s="628"/>
      <c r="N7" s="628"/>
      <c r="O7" s="628"/>
      <c r="P7" s="628"/>
      <c r="Q7" s="628"/>
      <c r="R7" s="628"/>
      <c r="S7" s="628"/>
      <c r="T7" s="628"/>
      <c r="U7" s="628"/>
      <c r="V7" s="628"/>
      <c r="W7" s="103"/>
    </row>
    <row r="8" spans="1:23" s="1" customFormat="1" ht="26.25" x14ac:dyDescent="0.3">
      <c r="A8" s="629" t="s">
        <v>4</v>
      </c>
      <c r="B8" s="629"/>
      <c r="C8" s="62" t="s">
        <v>90</v>
      </c>
      <c r="D8" s="6"/>
      <c r="E8" s="69"/>
      <c r="F8" s="69"/>
      <c r="G8" s="628"/>
      <c r="H8" s="628"/>
      <c r="I8" s="628"/>
      <c r="J8" s="628"/>
      <c r="K8" s="628"/>
      <c r="L8" s="628"/>
      <c r="M8" s="628"/>
      <c r="N8" s="628"/>
      <c r="O8" s="628"/>
      <c r="P8" s="628"/>
      <c r="Q8" s="628"/>
      <c r="R8" s="628"/>
      <c r="S8" s="628"/>
      <c r="T8" s="628"/>
      <c r="U8" s="628"/>
      <c r="V8" s="628"/>
      <c r="W8" s="103"/>
    </row>
    <row r="9" spans="1:23" s="1" customFormat="1" ht="26.25" x14ac:dyDescent="0.3">
      <c r="A9" s="155"/>
      <c r="B9" s="137" t="s">
        <v>13</v>
      </c>
      <c r="C9" s="62" t="s">
        <v>91</v>
      </c>
      <c r="D9" s="6"/>
      <c r="E9" s="69"/>
      <c r="F9" s="69"/>
      <c r="G9" s="628"/>
      <c r="H9" s="628"/>
      <c r="I9" s="628"/>
      <c r="J9" s="628"/>
      <c r="K9" s="628"/>
      <c r="L9" s="628"/>
      <c r="M9" s="628"/>
      <c r="N9" s="628"/>
      <c r="O9" s="628"/>
      <c r="P9" s="628"/>
      <c r="Q9" s="628"/>
      <c r="R9" s="628"/>
      <c r="S9" s="628"/>
      <c r="T9" s="628"/>
      <c r="U9" s="628"/>
      <c r="V9" s="628"/>
      <c r="W9" s="103"/>
    </row>
    <row r="10" spans="1:23" s="1" customFormat="1" ht="26.25" x14ac:dyDescent="0.4">
      <c r="A10" s="627" t="s">
        <v>40</v>
      </c>
      <c r="B10" s="627"/>
      <c r="C10" s="442">
        <v>43230</v>
      </c>
      <c r="D10" s="156"/>
      <c r="E10" s="69"/>
      <c r="F10" s="69"/>
      <c r="G10" s="628"/>
      <c r="H10" s="628"/>
      <c r="I10" s="628"/>
      <c r="J10" s="628"/>
      <c r="K10" s="628"/>
      <c r="L10" s="628"/>
      <c r="M10" s="628"/>
      <c r="N10" s="628"/>
      <c r="O10" s="628"/>
      <c r="P10" s="628"/>
      <c r="Q10" s="628"/>
      <c r="R10" s="628"/>
      <c r="S10" s="628"/>
      <c r="T10" s="628"/>
      <c r="U10" s="628"/>
      <c r="V10" s="628"/>
      <c r="W10" s="103"/>
    </row>
    <row r="11" spans="1:23" s="1" customFormat="1" ht="26.25" x14ac:dyDescent="0.4">
      <c r="A11" s="627" t="s">
        <v>41</v>
      </c>
      <c r="B11" s="627"/>
      <c r="C11" s="442">
        <v>45421</v>
      </c>
      <c r="D11" s="6"/>
      <c r="E11" s="69"/>
      <c r="F11" s="69"/>
      <c r="G11" s="628"/>
      <c r="H11" s="628"/>
      <c r="I11" s="628"/>
      <c r="J11" s="628"/>
      <c r="K11" s="628"/>
      <c r="L11" s="628"/>
      <c r="M11" s="628"/>
      <c r="N11" s="628"/>
      <c r="O11" s="628"/>
      <c r="P11" s="628"/>
      <c r="Q11" s="628"/>
      <c r="R11" s="628"/>
      <c r="S11" s="628"/>
      <c r="T11" s="628"/>
      <c r="U11" s="628"/>
      <c r="V11" s="628"/>
      <c r="W11" s="103"/>
    </row>
    <row r="13" spans="1:23" ht="21" x14ac:dyDescent="0.35">
      <c r="A13" s="535" t="s">
        <v>46</v>
      </c>
      <c r="B13" s="535"/>
      <c r="C13" s="535"/>
      <c r="D13" s="535"/>
      <c r="E13" s="535"/>
      <c r="F13" s="535"/>
      <c r="G13" s="535"/>
      <c r="H13" s="535"/>
      <c r="I13" s="535"/>
      <c r="J13" s="535"/>
      <c r="K13" s="535"/>
      <c r="L13" s="535"/>
      <c r="M13" s="535"/>
      <c r="N13" s="535"/>
      <c r="O13" s="535"/>
      <c r="P13" s="535"/>
      <c r="Q13" s="535"/>
      <c r="R13" s="535"/>
      <c r="S13" s="535"/>
      <c r="T13" s="535"/>
      <c r="U13" s="535"/>
      <c r="V13" s="535"/>
      <c r="W13" s="135"/>
    </row>
    <row r="14" spans="1:23" ht="21" x14ac:dyDescent="0.25">
      <c r="A14" s="584"/>
      <c r="B14" s="584"/>
      <c r="C14" s="584"/>
      <c r="D14" s="584"/>
      <c r="E14" s="584"/>
      <c r="F14" s="584"/>
      <c r="G14" s="584"/>
      <c r="H14" s="584"/>
      <c r="I14" s="584"/>
      <c r="J14" s="584"/>
      <c r="K14" s="584"/>
      <c r="L14" s="584"/>
      <c r="M14" s="584"/>
      <c r="N14" s="584"/>
      <c r="O14" s="584"/>
      <c r="P14" s="584"/>
      <c r="Q14" s="584"/>
      <c r="R14" s="584"/>
      <c r="S14" s="584"/>
      <c r="T14" s="584"/>
      <c r="U14" s="584"/>
      <c r="V14" s="584"/>
      <c r="W14" s="138"/>
    </row>
    <row r="15" spans="1:23" ht="34.5" thickBot="1" x14ac:dyDescent="0.55000000000000004">
      <c r="A15" s="157" t="s">
        <v>39</v>
      </c>
      <c r="B15" s="585">
        <v>2018</v>
      </c>
      <c r="C15" s="586"/>
      <c r="D15" s="586"/>
      <c r="E15" s="586"/>
      <c r="F15" s="586"/>
      <c r="G15" s="586"/>
      <c r="H15" s="586"/>
      <c r="I15" s="586"/>
      <c r="J15" s="586"/>
      <c r="K15" s="586"/>
      <c r="L15" s="586"/>
      <c r="M15" s="586"/>
      <c r="N15" s="586"/>
      <c r="O15" s="586"/>
      <c r="P15" s="586"/>
      <c r="Q15" s="586"/>
      <c r="R15" s="586"/>
      <c r="S15" s="586"/>
      <c r="T15" s="587"/>
      <c r="U15" s="588"/>
      <c r="V15" s="22"/>
      <c r="W15" s="22"/>
    </row>
    <row r="16" spans="1:23" ht="159" customHeight="1" thickBot="1" x14ac:dyDescent="0.3">
      <c r="A16" s="589" t="s">
        <v>42</v>
      </c>
      <c r="B16" s="592" t="s">
        <v>43</v>
      </c>
      <c r="C16" s="593"/>
      <c r="D16" s="594"/>
      <c r="E16" s="594" t="s">
        <v>44</v>
      </c>
      <c r="F16" s="601" t="s">
        <v>64</v>
      </c>
      <c r="G16" s="602"/>
      <c r="H16" s="603" t="s">
        <v>80</v>
      </c>
      <c r="I16" s="604"/>
      <c r="J16" s="603" t="s">
        <v>81</v>
      </c>
      <c r="K16" s="605"/>
      <c r="L16" s="604"/>
      <c r="M16" s="606" t="s">
        <v>82</v>
      </c>
      <c r="N16" s="607"/>
      <c r="O16" s="608"/>
      <c r="P16" s="609" t="s">
        <v>83</v>
      </c>
      <c r="Q16" s="610"/>
      <c r="R16" s="611" t="s">
        <v>84</v>
      </c>
      <c r="S16" s="612"/>
      <c r="T16" s="613" t="s">
        <v>85</v>
      </c>
      <c r="U16" s="614"/>
      <c r="V16" s="615"/>
    </row>
    <row r="17" spans="1:23" ht="30" customHeight="1" x14ac:dyDescent="0.25">
      <c r="A17" s="590"/>
      <c r="B17" s="595"/>
      <c r="C17" s="596"/>
      <c r="D17" s="597"/>
      <c r="E17" s="597"/>
      <c r="F17" s="622" t="s">
        <v>49</v>
      </c>
      <c r="G17" s="644" t="s">
        <v>48</v>
      </c>
      <c r="H17" s="646" t="s">
        <v>75</v>
      </c>
      <c r="I17" s="648" t="s">
        <v>76</v>
      </c>
      <c r="J17" s="650" t="s">
        <v>50</v>
      </c>
      <c r="K17" s="633" t="s">
        <v>38</v>
      </c>
      <c r="L17" s="652" t="s">
        <v>37</v>
      </c>
      <c r="M17" s="633" t="s">
        <v>50</v>
      </c>
      <c r="N17" s="633" t="s">
        <v>38</v>
      </c>
      <c r="O17" s="636" t="s">
        <v>37</v>
      </c>
      <c r="P17" s="638" t="s">
        <v>77</v>
      </c>
      <c r="Q17" s="640" t="s">
        <v>78</v>
      </c>
      <c r="R17" s="642" t="s">
        <v>79</v>
      </c>
      <c r="S17" s="624" t="s">
        <v>78</v>
      </c>
      <c r="T17" s="616"/>
      <c r="U17" s="617"/>
      <c r="V17" s="618"/>
    </row>
    <row r="18" spans="1:23" ht="66" customHeight="1" thickBot="1" x14ac:dyDescent="0.3">
      <c r="A18" s="591"/>
      <c r="B18" s="598"/>
      <c r="C18" s="599"/>
      <c r="D18" s="600"/>
      <c r="E18" s="600"/>
      <c r="F18" s="623"/>
      <c r="G18" s="645"/>
      <c r="H18" s="647"/>
      <c r="I18" s="649"/>
      <c r="J18" s="651"/>
      <c r="K18" s="635"/>
      <c r="L18" s="653"/>
      <c r="M18" s="634"/>
      <c r="N18" s="635"/>
      <c r="O18" s="637"/>
      <c r="P18" s="639"/>
      <c r="Q18" s="641"/>
      <c r="R18" s="643"/>
      <c r="S18" s="625"/>
      <c r="T18" s="619"/>
      <c r="U18" s="620"/>
      <c r="V18" s="621"/>
    </row>
    <row r="19" spans="1:23" ht="30" customHeight="1" x14ac:dyDescent="0.35">
      <c r="A19" s="158" t="s">
        <v>103</v>
      </c>
      <c r="B19" s="654"/>
      <c r="C19" s="655"/>
      <c r="D19" s="656"/>
      <c r="E19" s="91"/>
      <c r="F19" s="76"/>
      <c r="G19" s="77"/>
      <c r="H19" s="65"/>
      <c r="I19" s="110"/>
      <c r="J19" s="65"/>
      <c r="K19" s="68"/>
      <c r="L19" s="70"/>
      <c r="M19" s="81"/>
      <c r="N19" s="82"/>
      <c r="O19" s="83"/>
      <c r="P19" s="65"/>
      <c r="Q19" s="111"/>
      <c r="R19" s="112"/>
      <c r="S19" s="113"/>
      <c r="T19" s="126"/>
      <c r="U19" s="125"/>
      <c r="V19" s="127"/>
    </row>
    <row r="20" spans="1:23" s="168" customFormat="1" ht="37.5" x14ac:dyDescent="0.25">
      <c r="A20" s="159" t="s">
        <v>104</v>
      </c>
      <c r="B20" s="630" t="s">
        <v>105</v>
      </c>
      <c r="C20" s="631"/>
      <c r="D20" s="632"/>
      <c r="E20" s="160"/>
      <c r="F20" s="78"/>
      <c r="G20" s="79"/>
      <c r="H20" s="114"/>
      <c r="I20" s="115"/>
      <c r="J20" s="114"/>
      <c r="K20" s="49"/>
      <c r="L20" s="161"/>
      <c r="M20" s="162"/>
      <c r="N20" s="162"/>
      <c r="O20" s="163"/>
      <c r="P20" s="114"/>
      <c r="Q20" s="116"/>
      <c r="R20" s="117"/>
      <c r="S20" s="164"/>
      <c r="T20" s="165"/>
      <c r="U20" s="166"/>
      <c r="V20" s="167"/>
    </row>
    <row r="21" spans="1:23" s="168" customFormat="1" ht="56.25" x14ac:dyDescent="0.25">
      <c r="A21" s="159" t="s">
        <v>106</v>
      </c>
      <c r="B21" s="630" t="s">
        <v>105</v>
      </c>
      <c r="C21" s="631"/>
      <c r="D21" s="632"/>
      <c r="E21" s="160"/>
      <c r="F21" s="78"/>
      <c r="G21" s="79"/>
      <c r="H21" s="114"/>
      <c r="I21" s="115"/>
      <c r="J21" s="114"/>
      <c r="K21" s="49"/>
      <c r="L21" s="161"/>
      <c r="M21" s="162"/>
      <c r="N21" s="162"/>
      <c r="O21" s="163"/>
      <c r="P21" s="114"/>
      <c r="Q21" s="116"/>
      <c r="R21" s="117"/>
      <c r="S21" s="164"/>
      <c r="T21" s="165"/>
      <c r="U21" s="166"/>
      <c r="V21" s="167"/>
    </row>
    <row r="22" spans="1:23" s="168" customFormat="1" ht="56.25" x14ac:dyDescent="0.25">
      <c r="A22" s="159" t="s">
        <v>107</v>
      </c>
      <c r="B22" s="630" t="s">
        <v>105</v>
      </c>
      <c r="C22" s="631"/>
      <c r="D22" s="632"/>
      <c r="E22" s="160"/>
      <c r="F22" s="78"/>
      <c r="G22" s="79"/>
      <c r="H22" s="114"/>
      <c r="I22" s="115"/>
      <c r="J22" s="114"/>
      <c r="K22" s="49"/>
      <c r="L22" s="161"/>
      <c r="M22" s="162"/>
      <c r="N22" s="162"/>
      <c r="O22" s="163"/>
      <c r="P22" s="114"/>
      <c r="Q22" s="116"/>
      <c r="R22" s="117"/>
      <c r="S22" s="164"/>
      <c r="T22" s="165"/>
      <c r="U22" s="166"/>
      <c r="V22" s="167"/>
    </row>
    <row r="23" spans="1:23" s="168" customFormat="1" ht="75" x14ac:dyDescent="0.25">
      <c r="A23" s="169" t="s">
        <v>108</v>
      </c>
      <c r="B23" s="630" t="s">
        <v>105</v>
      </c>
      <c r="C23" s="631"/>
      <c r="D23" s="632"/>
      <c r="E23" s="160" t="s">
        <v>109</v>
      </c>
      <c r="F23" s="170">
        <v>0</v>
      </c>
      <c r="G23" s="171">
        <v>29502</v>
      </c>
      <c r="H23" s="172"/>
      <c r="I23" s="173"/>
      <c r="J23" s="172">
        <v>0</v>
      </c>
      <c r="K23" s="174">
        <v>0</v>
      </c>
      <c r="L23" s="175">
        <v>0</v>
      </c>
      <c r="M23" s="176">
        <v>0</v>
      </c>
      <c r="N23" s="176">
        <v>0</v>
      </c>
      <c r="O23" s="177">
        <v>0</v>
      </c>
      <c r="P23" s="172">
        <v>0</v>
      </c>
      <c r="Q23" s="178">
        <v>0</v>
      </c>
      <c r="R23" s="179">
        <v>0</v>
      </c>
      <c r="S23" s="180">
        <v>0</v>
      </c>
      <c r="T23" s="165"/>
      <c r="U23" s="166"/>
      <c r="V23" s="167"/>
    </row>
    <row r="24" spans="1:23" ht="30" customHeight="1" x14ac:dyDescent="0.35">
      <c r="A24" s="181" t="s">
        <v>110</v>
      </c>
      <c r="B24" s="657"/>
      <c r="C24" s="658"/>
      <c r="D24" s="659"/>
      <c r="E24" s="182"/>
      <c r="F24" s="170"/>
      <c r="G24" s="183"/>
      <c r="H24" s="73"/>
      <c r="I24" s="118"/>
      <c r="J24" s="73"/>
      <c r="K24" s="72"/>
      <c r="L24" s="66"/>
      <c r="M24" s="81"/>
      <c r="N24" s="82"/>
      <c r="O24" s="83"/>
      <c r="P24" s="73"/>
      <c r="Q24" s="119"/>
      <c r="R24" s="112"/>
      <c r="S24" s="113"/>
      <c r="T24" s="128"/>
      <c r="U24" s="124"/>
      <c r="V24" s="129"/>
    </row>
    <row r="25" spans="1:23" ht="38.25" x14ac:dyDescent="0.35">
      <c r="A25" s="184" t="s">
        <v>111</v>
      </c>
      <c r="B25" s="660"/>
      <c r="C25" s="661"/>
      <c r="D25" s="662"/>
      <c r="E25" s="185"/>
      <c r="F25" s="78"/>
      <c r="G25" s="79"/>
      <c r="H25" s="114"/>
      <c r="I25" s="115"/>
      <c r="J25" s="74"/>
      <c r="K25" s="67"/>
      <c r="L25" s="161"/>
      <c r="M25" s="84"/>
      <c r="N25" s="84"/>
      <c r="O25" s="85"/>
      <c r="P25" s="74"/>
      <c r="Q25" s="116"/>
      <c r="R25" s="117"/>
      <c r="S25" s="164"/>
      <c r="T25" s="128"/>
      <c r="U25" s="124"/>
      <c r="V25" s="129"/>
      <c r="W25" s="64"/>
    </row>
    <row r="26" spans="1:23" ht="38.25" x14ac:dyDescent="0.35">
      <c r="A26" s="184" t="s">
        <v>112</v>
      </c>
      <c r="B26" s="663" t="s">
        <v>113</v>
      </c>
      <c r="C26" s="664"/>
      <c r="D26" s="665"/>
      <c r="E26" s="160" t="s">
        <v>113</v>
      </c>
      <c r="F26" s="186">
        <v>2543200</v>
      </c>
      <c r="G26" s="171">
        <v>45934422</v>
      </c>
      <c r="H26" s="114"/>
      <c r="I26" s="115"/>
      <c r="J26" s="74">
        <v>0</v>
      </c>
      <c r="K26" s="67">
        <v>0</v>
      </c>
      <c r="L26" s="161">
        <v>0</v>
      </c>
      <c r="M26" s="84">
        <v>0</v>
      </c>
      <c r="N26" s="84">
        <v>0</v>
      </c>
      <c r="O26" s="85">
        <v>0</v>
      </c>
      <c r="P26" s="74">
        <v>0</v>
      </c>
      <c r="Q26" s="116">
        <v>0</v>
      </c>
      <c r="R26" s="117">
        <v>0</v>
      </c>
      <c r="S26" s="164">
        <v>0</v>
      </c>
      <c r="T26" s="128"/>
      <c r="U26" s="124"/>
      <c r="V26" s="129"/>
    </row>
    <row r="27" spans="1:23" ht="30" customHeight="1" x14ac:dyDescent="0.35">
      <c r="A27" s="181" t="s">
        <v>114</v>
      </c>
      <c r="B27" s="187"/>
      <c r="C27" s="188"/>
      <c r="D27" s="189"/>
      <c r="E27" s="185"/>
      <c r="F27" s="190"/>
      <c r="G27" s="79"/>
      <c r="H27" s="191"/>
      <c r="I27" s="192"/>
      <c r="J27" s="193"/>
      <c r="K27" s="194"/>
      <c r="L27" s="195"/>
      <c r="M27" s="196"/>
      <c r="N27" s="196"/>
      <c r="O27" s="197"/>
      <c r="P27" s="193"/>
      <c r="Q27" s="198"/>
      <c r="R27" s="199"/>
      <c r="S27" s="200"/>
      <c r="T27" s="201"/>
      <c r="U27" s="202"/>
      <c r="V27" s="203"/>
    </row>
    <row r="28" spans="1:23" ht="39" thickBot="1" x14ac:dyDescent="0.4">
      <c r="A28" s="184" t="s">
        <v>115</v>
      </c>
      <c r="B28" s="666" t="s">
        <v>95</v>
      </c>
      <c r="C28" s="667"/>
      <c r="D28" s="668"/>
      <c r="E28" s="160" t="s">
        <v>96</v>
      </c>
      <c r="F28" s="190" t="s">
        <v>96</v>
      </c>
      <c r="G28" s="79">
        <v>0</v>
      </c>
      <c r="H28" s="191"/>
      <c r="I28" s="204"/>
      <c r="J28" s="49" t="s">
        <v>96</v>
      </c>
      <c r="K28" s="49" t="s">
        <v>96</v>
      </c>
      <c r="L28" s="205" t="s">
        <v>96</v>
      </c>
      <c r="M28" s="162" t="s">
        <v>96</v>
      </c>
      <c r="N28" s="162" t="s">
        <v>96</v>
      </c>
      <c r="O28" s="162" t="s">
        <v>96</v>
      </c>
      <c r="P28" s="206">
        <v>0</v>
      </c>
      <c r="Q28" s="198">
        <v>0</v>
      </c>
      <c r="R28" s="199">
        <v>0</v>
      </c>
      <c r="S28" s="200">
        <v>0</v>
      </c>
      <c r="T28" s="201"/>
      <c r="U28" s="202"/>
      <c r="V28" s="203"/>
    </row>
    <row r="29" spans="1:23" ht="23.25" customHeight="1" x14ac:dyDescent="0.35">
      <c r="A29" s="207" t="s">
        <v>116</v>
      </c>
      <c r="B29" s="669" t="s">
        <v>95</v>
      </c>
      <c r="C29" s="670"/>
      <c r="D29" s="671"/>
      <c r="E29" s="208" t="s">
        <v>96</v>
      </c>
      <c r="F29" s="209" t="s">
        <v>96</v>
      </c>
      <c r="G29" s="208">
        <v>0</v>
      </c>
      <c r="H29" s="210"/>
      <c r="I29" s="210"/>
      <c r="J29" s="210" t="s">
        <v>96</v>
      </c>
      <c r="K29" s="210" t="s">
        <v>96</v>
      </c>
      <c r="L29" s="211" t="s">
        <v>96</v>
      </c>
      <c r="M29" s="212" t="s">
        <v>96</v>
      </c>
      <c r="N29" s="212" t="s">
        <v>96</v>
      </c>
      <c r="O29" s="212" t="s">
        <v>96</v>
      </c>
      <c r="P29" s="194">
        <v>0</v>
      </c>
      <c r="Q29" s="213">
        <v>0</v>
      </c>
      <c r="R29" s="214">
        <v>0</v>
      </c>
      <c r="S29" s="215">
        <v>0</v>
      </c>
      <c r="T29" s="202"/>
      <c r="U29" s="202"/>
      <c r="V29" s="202"/>
    </row>
    <row r="30" spans="1:23" ht="23.25" customHeight="1" x14ac:dyDescent="0.35">
      <c r="A30" s="184"/>
      <c r="B30" s="216"/>
      <c r="C30" s="216"/>
      <c r="D30" s="216"/>
      <c r="E30" s="185"/>
      <c r="F30" s="160"/>
      <c r="G30" s="217">
        <f>SUM(G19:G29)</f>
        <v>45963924</v>
      </c>
      <c r="H30" s="218"/>
      <c r="I30" s="218"/>
      <c r="J30" s="219"/>
      <c r="K30" s="219"/>
      <c r="L30" s="220"/>
      <c r="M30" s="221"/>
      <c r="N30" s="221"/>
      <c r="O30" s="222"/>
      <c r="P30" s="219"/>
      <c r="Q30" s="223"/>
      <c r="R30" s="224"/>
      <c r="S30" s="225"/>
      <c r="T30" s="226"/>
      <c r="U30" s="226"/>
      <c r="V30" s="227"/>
    </row>
    <row r="31" spans="1:23" ht="21.75" thickBot="1" x14ac:dyDescent="0.4">
      <c r="A31" s="672"/>
      <c r="B31" s="673"/>
      <c r="C31" s="673"/>
      <c r="D31" s="673"/>
      <c r="E31" s="673"/>
      <c r="F31" s="673"/>
      <c r="G31" s="673"/>
      <c r="H31" s="673"/>
      <c r="I31" s="673"/>
      <c r="J31" s="673"/>
      <c r="K31" s="673"/>
      <c r="L31" s="673"/>
      <c r="M31" s="673"/>
      <c r="N31" s="673"/>
      <c r="O31" s="673"/>
      <c r="P31" s="673"/>
      <c r="Q31" s="673"/>
      <c r="R31" s="673"/>
      <c r="S31" s="673"/>
      <c r="T31" s="673"/>
      <c r="U31" s="673"/>
      <c r="V31" s="674"/>
      <c r="W31" s="90"/>
    </row>
    <row r="32" spans="1:23" ht="34.5" thickBot="1" x14ac:dyDescent="0.55000000000000004">
      <c r="A32" s="157" t="s">
        <v>39</v>
      </c>
      <c r="B32" s="585">
        <v>2019</v>
      </c>
      <c r="C32" s="586"/>
      <c r="D32" s="586"/>
      <c r="E32" s="586"/>
      <c r="F32" s="586"/>
      <c r="G32" s="586"/>
      <c r="H32" s="586"/>
      <c r="I32" s="586"/>
      <c r="J32" s="586"/>
      <c r="K32" s="586"/>
      <c r="L32" s="586"/>
      <c r="M32" s="586"/>
      <c r="N32" s="586"/>
      <c r="O32" s="586"/>
      <c r="P32" s="586"/>
      <c r="Q32" s="586"/>
      <c r="R32" s="586"/>
      <c r="S32" s="586"/>
      <c r="T32" s="587"/>
      <c r="U32" s="588"/>
      <c r="V32" s="22"/>
      <c r="W32" s="22"/>
    </row>
    <row r="33" spans="1:25" ht="159" customHeight="1" thickBot="1" x14ac:dyDescent="0.3">
      <c r="A33" s="589" t="s">
        <v>42</v>
      </c>
      <c r="B33" s="592" t="s">
        <v>43</v>
      </c>
      <c r="C33" s="593"/>
      <c r="D33" s="594"/>
      <c r="E33" s="594" t="s">
        <v>44</v>
      </c>
      <c r="F33" s="601" t="s">
        <v>64</v>
      </c>
      <c r="G33" s="602"/>
      <c r="H33" s="603" t="s">
        <v>80</v>
      </c>
      <c r="I33" s="604"/>
      <c r="J33" s="603" t="s">
        <v>81</v>
      </c>
      <c r="K33" s="605"/>
      <c r="L33" s="604"/>
      <c r="M33" s="606" t="s">
        <v>82</v>
      </c>
      <c r="N33" s="607"/>
      <c r="O33" s="608"/>
      <c r="P33" s="609" t="s">
        <v>83</v>
      </c>
      <c r="Q33" s="610"/>
      <c r="R33" s="611" t="s">
        <v>84</v>
      </c>
      <c r="S33" s="612"/>
      <c r="T33" s="613" t="s">
        <v>85</v>
      </c>
      <c r="U33" s="614"/>
      <c r="V33" s="615"/>
      <c r="W33" s="87"/>
    </row>
    <row r="34" spans="1:25" ht="30" customHeight="1" x14ac:dyDescent="0.25">
      <c r="A34" s="590"/>
      <c r="B34" s="595"/>
      <c r="C34" s="596"/>
      <c r="D34" s="597"/>
      <c r="E34" s="597"/>
      <c r="F34" s="622" t="s">
        <v>49</v>
      </c>
      <c r="G34" s="644" t="s">
        <v>48</v>
      </c>
      <c r="H34" s="646" t="s">
        <v>75</v>
      </c>
      <c r="I34" s="648" t="s">
        <v>76</v>
      </c>
      <c r="J34" s="650" t="s">
        <v>50</v>
      </c>
      <c r="K34" s="633" t="s">
        <v>38</v>
      </c>
      <c r="L34" s="652" t="s">
        <v>37</v>
      </c>
      <c r="M34" s="633" t="s">
        <v>50</v>
      </c>
      <c r="N34" s="633" t="s">
        <v>38</v>
      </c>
      <c r="O34" s="636" t="s">
        <v>37</v>
      </c>
      <c r="P34" s="638" t="s">
        <v>77</v>
      </c>
      <c r="Q34" s="640" t="s">
        <v>78</v>
      </c>
      <c r="R34" s="642" t="s">
        <v>79</v>
      </c>
      <c r="S34" s="624" t="s">
        <v>78</v>
      </c>
      <c r="T34" s="616"/>
      <c r="U34" s="617"/>
      <c r="V34" s="618"/>
      <c r="W34" s="88"/>
    </row>
    <row r="35" spans="1:25" ht="66" customHeight="1" thickBot="1" x14ac:dyDescent="0.3">
      <c r="A35" s="591"/>
      <c r="B35" s="598"/>
      <c r="C35" s="599"/>
      <c r="D35" s="600"/>
      <c r="E35" s="600"/>
      <c r="F35" s="623"/>
      <c r="G35" s="645"/>
      <c r="H35" s="647"/>
      <c r="I35" s="649"/>
      <c r="J35" s="651"/>
      <c r="K35" s="635"/>
      <c r="L35" s="653"/>
      <c r="M35" s="634"/>
      <c r="N35" s="635"/>
      <c r="O35" s="637"/>
      <c r="P35" s="639"/>
      <c r="Q35" s="641"/>
      <c r="R35" s="643"/>
      <c r="S35" s="625"/>
      <c r="T35" s="619"/>
      <c r="U35" s="620"/>
      <c r="V35" s="621"/>
      <c r="W35" s="88"/>
    </row>
    <row r="36" spans="1:25" s="168" customFormat="1" ht="30" customHeight="1" x14ac:dyDescent="0.25">
      <c r="A36" s="228" t="s">
        <v>103</v>
      </c>
      <c r="B36" s="654"/>
      <c r="C36" s="655"/>
      <c r="D36" s="656"/>
      <c r="E36" s="139"/>
      <c r="F36" s="76"/>
      <c r="G36" s="77"/>
      <c r="H36" s="65"/>
      <c r="I36" s="110"/>
      <c r="J36" s="65"/>
      <c r="K36" s="68"/>
      <c r="L36" s="70"/>
      <c r="M36" s="81"/>
      <c r="N36" s="81"/>
      <c r="O36" s="229"/>
      <c r="P36" s="65"/>
      <c r="Q36" s="111"/>
      <c r="R36" s="112"/>
      <c r="S36" s="113"/>
      <c r="T36" s="230"/>
      <c r="U36" s="231"/>
      <c r="V36" s="232"/>
      <c r="W36" s="233"/>
    </row>
    <row r="37" spans="1:25" s="168" customFormat="1" ht="21" x14ac:dyDescent="0.25">
      <c r="A37" s="675" t="s">
        <v>92</v>
      </c>
      <c r="B37" s="630" t="s">
        <v>117</v>
      </c>
      <c r="C37" s="631"/>
      <c r="D37" s="632"/>
      <c r="E37" s="160" t="s">
        <v>97</v>
      </c>
      <c r="F37" s="186">
        <v>500</v>
      </c>
      <c r="G37" s="234">
        <v>69953055.790000007</v>
      </c>
      <c r="H37" s="235">
        <v>43467</v>
      </c>
      <c r="I37" s="236">
        <v>43819</v>
      </c>
      <c r="J37" s="114">
        <v>500</v>
      </c>
      <c r="K37" s="49">
        <v>0</v>
      </c>
      <c r="L37" s="161">
        <v>0</v>
      </c>
      <c r="M37" s="237">
        <v>69953055.790000007</v>
      </c>
      <c r="N37" s="237">
        <v>0</v>
      </c>
      <c r="O37" s="238">
        <v>0</v>
      </c>
      <c r="P37" s="239">
        <v>0</v>
      </c>
      <c r="Q37" s="240">
        <f t="shared" ref="Q37:Q38" si="0">O37</f>
        <v>0</v>
      </c>
      <c r="R37" s="117">
        <v>0</v>
      </c>
      <c r="S37" s="164">
        <v>0</v>
      </c>
      <c r="T37" s="165"/>
      <c r="U37" s="166"/>
      <c r="V37" s="167"/>
      <c r="W37" s="241"/>
    </row>
    <row r="38" spans="1:25" s="168" customFormat="1" ht="66.75" customHeight="1" x14ac:dyDescent="0.25">
      <c r="A38" s="676"/>
      <c r="B38" s="630" t="s">
        <v>118</v>
      </c>
      <c r="C38" s="631"/>
      <c r="D38" s="632"/>
      <c r="E38" s="160" t="s">
        <v>93</v>
      </c>
      <c r="F38" s="186">
        <v>500</v>
      </c>
      <c r="G38" s="234">
        <v>5399305.21</v>
      </c>
      <c r="H38" s="235">
        <v>43467</v>
      </c>
      <c r="I38" s="236">
        <v>43819</v>
      </c>
      <c r="J38" s="114">
        <v>500</v>
      </c>
      <c r="K38" s="49">
        <v>0</v>
      </c>
      <c r="L38" s="161">
        <v>0</v>
      </c>
      <c r="M38" s="237">
        <v>5399305.21</v>
      </c>
      <c r="N38" s="237">
        <v>0</v>
      </c>
      <c r="O38" s="238">
        <v>0</v>
      </c>
      <c r="P38" s="239">
        <v>0</v>
      </c>
      <c r="Q38" s="240">
        <f t="shared" si="0"/>
        <v>0</v>
      </c>
      <c r="R38" s="117">
        <v>0</v>
      </c>
      <c r="S38" s="164">
        <v>0</v>
      </c>
      <c r="T38" s="165"/>
      <c r="U38" s="166"/>
      <c r="V38" s="167"/>
      <c r="W38" s="241"/>
    </row>
    <row r="39" spans="1:25" s="168" customFormat="1" ht="30" customHeight="1" x14ac:dyDescent="0.25">
      <c r="A39" s="242" t="s">
        <v>110</v>
      </c>
      <c r="B39" s="243"/>
      <c r="C39" s="244"/>
      <c r="D39" s="245"/>
      <c r="E39" s="160"/>
      <c r="F39" s="186"/>
      <c r="G39" s="234"/>
      <c r="H39" s="114"/>
      <c r="I39" s="115"/>
      <c r="J39" s="114"/>
      <c r="K39" s="49"/>
      <c r="L39" s="161"/>
      <c r="M39" s="237"/>
      <c r="N39" s="237"/>
      <c r="O39" s="238"/>
      <c r="P39" s="239"/>
      <c r="Q39" s="116"/>
      <c r="R39" s="117"/>
      <c r="S39" s="164"/>
      <c r="T39" s="165"/>
      <c r="U39" s="166"/>
      <c r="V39" s="167"/>
      <c r="W39" s="241"/>
    </row>
    <row r="40" spans="1:25" s="168" customFormat="1" ht="53.25" customHeight="1" x14ac:dyDescent="0.25">
      <c r="A40" s="675" t="s">
        <v>100</v>
      </c>
      <c r="B40" s="630" t="s">
        <v>119</v>
      </c>
      <c r="C40" s="631"/>
      <c r="D40" s="632"/>
      <c r="E40" s="160" t="s">
        <v>120</v>
      </c>
      <c r="F40" s="246">
        <v>1500</v>
      </c>
      <c r="G40" s="247">
        <v>6600000</v>
      </c>
      <c r="H40" s="235">
        <v>43498</v>
      </c>
      <c r="I40" s="236">
        <v>43799</v>
      </c>
      <c r="J40" s="239">
        <v>1500</v>
      </c>
      <c r="K40" s="248">
        <v>1224</v>
      </c>
      <c r="L40" s="249">
        <f>K40/J40</f>
        <v>0.81599999999999995</v>
      </c>
      <c r="M40" s="250">
        <v>6600000</v>
      </c>
      <c r="N40" s="237">
        <v>5385600</v>
      </c>
      <c r="O40" s="251">
        <f>N40/M40</f>
        <v>0.81599999999999995</v>
      </c>
      <c r="P40" s="252">
        <v>1224</v>
      </c>
      <c r="Q40" s="240">
        <f>O40</f>
        <v>0.81599999999999995</v>
      </c>
      <c r="R40" s="253">
        <f>N40</f>
        <v>5385600</v>
      </c>
      <c r="S40" s="254">
        <f>Q40</f>
        <v>0.81599999999999995</v>
      </c>
      <c r="T40" s="165"/>
      <c r="U40" s="166"/>
      <c r="V40" s="167"/>
      <c r="W40" s="233"/>
    </row>
    <row r="41" spans="1:25" s="168" customFormat="1" ht="53.25" customHeight="1" x14ac:dyDescent="0.25">
      <c r="A41" s="677"/>
      <c r="B41" s="630" t="s">
        <v>121</v>
      </c>
      <c r="C41" s="631"/>
      <c r="D41" s="632"/>
      <c r="E41" s="160" t="s">
        <v>122</v>
      </c>
      <c r="F41" s="186">
        <v>499537</v>
      </c>
      <c r="G41" s="234">
        <v>10026616</v>
      </c>
      <c r="H41" s="235">
        <v>43467</v>
      </c>
      <c r="I41" s="236">
        <v>43710</v>
      </c>
      <c r="J41" s="239">
        <v>499537</v>
      </c>
      <c r="K41" s="248">
        <v>499537</v>
      </c>
      <c r="L41" s="249">
        <f>K41/J41</f>
        <v>1</v>
      </c>
      <c r="M41" s="255">
        <v>10026616</v>
      </c>
      <c r="N41" s="237">
        <v>9581119.6600000001</v>
      </c>
      <c r="O41" s="251">
        <f>N41/M41</f>
        <v>0.95556862454890068</v>
      </c>
      <c r="P41" s="239">
        <v>499537</v>
      </c>
      <c r="Q41" s="240">
        <f>O41</f>
        <v>0.95556862454890068</v>
      </c>
      <c r="R41" s="253">
        <f t="shared" ref="R41:R46" si="1">N41</f>
        <v>9581119.6600000001</v>
      </c>
      <c r="S41" s="254">
        <f t="shared" ref="S41:S47" si="2">Q41</f>
        <v>0.95556862454890068</v>
      </c>
      <c r="T41" s="165"/>
      <c r="U41" s="166"/>
      <c r="V41" s="167"/>
      <c r="W41" s="241"/>
    </row>
    <row r="42" spans="1:25" s="168" customFormat="1" ht="53.25" customHeight="1" x14ac:dyDescent="0.25">
      <c r="A42" s="677"/>
      <c r="B42" s="630" t="s">
        <v>121</v>
      </c>
      <c r="C42" s="631"/>
      <c r="D42" s="632"/>
      <c r="E42" s="160" t="s">
        <v>122</v>
      </c>
      <c r="F42" s="186">
        <v>2360402</v>
      </c>
      <c r="G42" s="234">
        <v>24384275</v>
      </c>
      <c r="H42" s="235">
        <v>43467</v>
      </c>
      <c r="I42" s="236">
        <v>43585</v>
      </c>
      <c r="J42" s="239">
        <v>2360402</v>
      </c>
      <c r="K42" s="248">
        <v>2360402</v>
      </c>
      <c r="L42" s="249">
        <f>K42/J42</f>
        <v>1</v>
      </c>
      <c r="M42" s="255">
        <v>24384275</v>
      </c>
      <c r="N42" s="237">
        <v>24297026.359999999</v>
      </c>
      <c r="O42" s="251">
        <f>N42/M42</f>
        <v>0.99642193011684788</v>
      </c>
      <c r="P42" s="239">
        <v>2360402</v>
      </c>
      <c r="Q42" s="240">
        <f>O42</f>
        <v>0.99642193011684788</v>
      </c>
      <c r="R42" s="253">
        <f t="shared" si="1"/>
        <v>24297026.359999999</v>
      </c>
      <c r="S42" s="254">
        <f t="shared" si="2"/>
        <v>0.99642193011684788</v>
      </c>
      <c r="T42" s="165"/>
      <c r="U42" s="166"/>
      <c r="V42" s="167"/>
      <c r="W42" s="241"/>
    </row>
    <row r="43" spans="1:25" s="168" customFormat="1" ht="21" x14ac:dyDescent="0.25">
      <c r="A43" s="677"/>
      <c r="B43" s="630" t="s">
        <v>123</v>
      </c>
      <c r="C43" s="631"/>
      <c r="D43" s="632"/>
      <c r="E43" s="160" t="s">
        <v>120</v>
      </c>
      <c r="F43" s="186">
        <v>1360</v>
      </c>
      <c r="G43" s="234">
        <v>2258079</v>
      </c>
      <c r="H43" s="235">
        <v>43647</v>
      </c>
      <c r="I43" s="236">
        <v>43803</v>
      </c>
      <c r="J43" s="239">
        <v>1360</v>
      </c>
      <c r="K43" s="248">
        <v>0</v>
      </c>
      <c r="L43" s="249">
        <f t="shared" ref="L43:L44" si="3">K43/J43</f>
        <v>0</v>
      </c>
      <c r="M43" s="255">
        <v>2258079</v>
      </c>
      <c r="N43" s="237">
        <v>0</v>
      </c>
      <c r="O43" s="251">
        <f>N43/M43</f>
        <v>0</v>
      </c>
      <c r="P43" s="239">
        <v>0</v>
      </c>
      <c r="Q43" s="240">
        <f>O43</f>
        <v>0</v>
      </c>
      <c r="R43" s="253">
        <f t="shared" si="1"/>
        <v>0</v>
      </c>
      <c r="S43" s="254">
        <f t="shared" si="2"/>
        <v>0</v>
      </c>
      <c r="T43" s="165"/>
      <c r="U43" s="166"/>
      <c r="V43" s="167"/>
      <c r="W43" s="241"/>
    </row>
    <row r="44" spans="1:25" s="168" customFormat="1" ht="21" x14ac:dyDescent="0.25">
      <c r="A44" s="676"/>
      <c r="B44" s="630" t="s">
        <v>124</v>
      </c>
      <c r="C44" s="631"/>
      <c r="D44" s="632"/>
      <c r="E44" s="160" t="s">
        <v>101</v>
      </c>
      <c r="F44" s="246">
        <v>1360</v>
      </c>
      <c r="G44" s="247">
        <v>99949503</v>
      </c>
      <c r="H44" s="235">
        <v>43467</v>
      </c>
      <c r="I44" s="236">
        <v>43696</v>
      </c>
      <c r="J44" s="239">
        <v>1360</v>
      </c>
      <c r="K44" s="248">
        <v>0</v>
      </c>
      <c r="L44" s="249">
        <f t="shared" si="3"/>
        <v>0</v>
      </c>
      <c r="M44" s="256">
        <v>99949503</v>
      </c>
      <c r="N44" s="237">
        <v>0</v>
      </c>
      <c r="O44" s="251">
        <f>N44/M44</f>
        <v>0</v>
      </c>
      <c r="P44" s="252">
        <v>0</v>
      </c>
      <c r="Q44" s="240">
        <f>O44</f>
        <v>0</v>
      </c>
      <c r="R44" s="253">
        <f t="shared" si="1"/>
        <v>0</v>
      </c>
      <c r="S44" s="254">
        <f t="shared" si="2"/>
        <v>0</v>
      </c>
      <c r="T44" s="165"/>
      <c r="U44" s="166"/>
      <c r="V44" s="167"/>
      <c r="W44" s="233"/>
    </row>
    <row r="45" spans="1:25" s="168" customFormat="1" ht="30" customHeight="1" x14ac:dyDescent="0.25">
      <c r="A45" s="242" t="s">
        <v>114</v>
      </c>
      <c r="B45" s="663"/>
      <c r="C45" s="664"/>
      <c r="D45" s="665"/>
      <c r="E45" s="160"/>
      <c r="F45" s="78"/>
      <c r="G45" s="79"/>
      <c r="H45" s="114"/>
      <c r="I45" s="115"/>
      <c r="J45" s="114"/>
      <c r="K45" s="49"/>
      <c r="L45" s="257"/>
      <c r="M45" s="258"/>
      <c r="N45" s="259"/>
      <c r="O45" s="260"/>
      <c r="P45" s="239"/>
      <c r="Q45" s="240"/>
      <c r="R45" s="253"/>
      <c r="S45" s="254"/>
      <c r="T45" s="165"/>
      <c r="U45" s="166"/>
      <c r="V45" s="167"/>
      <c r="W45" s="241"/>
      <c r="Y45" s="261"/>
    </row>
    <row r="46" spans="1:25" s="168" customFormat="1" ht="69.75" x14ac:dyDescent="0.25">
      <c r="A46" s="262" t="s">
        <v>94</v>
      </c>
      <c r="B46" s="663" t="s">
        <v>95</v>
      </c>
      <c r="C46" s="664"/>
      <c r="D46" s="665"/>
      <c r="E46" s="160" t="s">
        <v>125</v>
      </c>
      <c r="F46" s="78" t="s">
        <v>96</v>
      </c>
      <c r="G46" s="247">
        <v>15022125</v>
      </c>
      <c r="H46" s="235">
        <v>43525</v>
      </c>
      <c r="I46" s="236">
        <v>43830</v>
      </c>
      <c r="J46" s="263" t="s">
        <v>96</v>
      </c>
      <c r="K46" s="49" t="s">
        <v>96</v>
      </c>
      <c r="L46" s="220" t="s">
        <v>96</v>
      </c>
      <c r="M46" s="256">
        <v>15022125</v>
      </c>
      <c r="N46" s="237">
        <v>2397900</v>
      </c>
      <c r="O46" s="251">
        <f>N46/M46</f>
        <v>0.15962455378316984</v>
      </c>
      <c r="P46" s="239" t="s">
        <v>96</v>
      </c>
      <c r="Q46" s="240">
        <f>O46</f>
        <v>0.15962455378316984</v>
      </c>
      <c r="R46" s="253">
        <f t="shared" si="1"/>
        <v>2397900</v>
      </c>
      <c r="S46" s="254">
        <f t="shared" si="2"/>
        <v>0.15962455378316984</v>
      </c>
      <c r="T46" s="165"/>
      <c r="U46" s="166"/>
      <c r="V46" s="167"/>
      <c r="W46" s="241"/>
    </row>
    <row r="47" spans="1:25" ht="23.25" customHeight="1" thickBot="1" x14ac:dyDescent="0.5">
      <c r="A47" s="264"/>
      <c r="B47" s="678"/>
      <c r="C47" s="679"/>
      <c r="D47" s="680"/>
      <c r="E47" s="92"/>
      <c r="F47" s="80"/>
      <c r="G47" s="79"/>
      <c r="H47" s="120"/>
      <c r="I47" s="121"/>
      <c r="J47" s="265">
        <f>J44+J43+J42+J41+J40+J38+J37</f>
        <v>2865159</v>
      </c>
      <c r="K47" s="265">
        <f>K44+K43+K42+K41+K40+K38+K37</f>
        <v>2861163</v>
      </c>
      <c r="L47" s="266">
        <f>K47/J47</f>
        <v>0.99860531300357158</v>
      </c>
      <c r="M47" s="86"/>
      <c r="N47" s="267"/>
      <c r="O47" s="268"/>
      <c r="P47" s="269">
        <f>SUM(P36:P46)</f>
        <v>2861163</v>
      </c>
      <c r="Q47" s="251">
        <f>P47/J47</f>
        <v>0.99860531300357158</v>
      </c>
      <c r="R47" s="123"/>
      <c r="S47" s="270">
        <f t="shared" si="2"/>
        <v>0.99860531300357158</v>
      </c>
      <c r="T47" s="130"/>
      <c r="U47" s="131"/>
      <c r="V47" s="132"/>
      <c r="W47" s="89"/>
    </row>
    <row r="48" spans="1:25" ht="35.25" customHeight="1" thickBot="1" x14ac:dyDescent="0.4">
      <c r="A48" s="271"/>
      <c r="B48" s="272"/>
      <c r="C48" s="272"/>
      <c r="D48" s="272"/>
      <c r="E48" s="272"/>
      <c r="F48" s="272"/>
      <c r="G48" s="272"/>
      <c r="H48" s="272"/>
      <c r="I48" s="272"/>
      <c r="J48" s="272"/>
      <c r="K48" s="272"/>
      <c r="L48" s="273"/>
      <c r="M48" s="274">
        <f>SUM(M37:M47)</f>
        <v>233592959</v>
      </c>
      <c r="N48" s="274">
        <f>SUM(N37:N47)</f>
        <v>41661646.019999996</v>
      </c>
      <c r="O48" s="251">
        <f>N48/M48</f>
        <v>0.17835146315347628</v>
      </c>
      <c r="P48" s="272"/>
      <c r="Q48" s="275"/>
      <c r="R48" s="285">
        <f>SUM(R37:R47)</f>
        <v>41661646.019999996</v>
      </c>
      <c r="S48" s="273"/>
      <c r="T48" s="276"/>
      <c r="U48" s="276"/>
      <c r="V48" s="277"/>
      <c r="W48" s="90"/>
    </row>
    <row r="49" spans="1:23" ht="34.5" thickBot="1" x14ac:dyDescent="0.55000000000000004">
      <c r="A49" s="157" t="s">
        <v>39</v>
      </c>
      <c r="B49" s="585">
        <v>2020</v>
      </c>
      <c r="C49" s="586"/>
      <c r="D49" s="586"/>
      <c r="E49" s="586"/>
      <c r="F49" s="586"/>
      <c r="G49" s="586"/>
      <c r="H49" s="586"/>
      <c r="I49" s="586"/>
      <c r="J49" s="586"/>
      <c r="K49" s="586"/>
      <c r="L49" s="586"/>
      <c r="M49" s="586"/>
      <c r="N49" s="586"/>
      <c r="O49" s="586"/>
      <c r="P49" s="586"/>
      <c r="Q49" s="586"/>
      <c r="R49" s="586"/>
      <c r="S49" s="586"/>
      <c r="T49" s="587"/>
      <c r="U49" s="588"/>
      <c r="V49" s="22"/>
      <c r="W49" s="90"/>
    </row>
    <row r="50" spans="1:23" ht="34.5" thickBot="1" x14ac:dyDescent="0.35">
      <c r="A50" s="589" t="s">
        <v>42</v>
      </c>
      <c r="B50" s="592" t="s">
        <v>43</v>
      </c>
      <c r="C50" s="593"/>
      <c r="D50" s="594"/>
      <c r="E50" s="594" t="s">
        <v>44</v>
      </c>
      <c r="F50" s="601" t="s">
        <v>64</v>
      </c>
      <c r="G50" s="602"/>
      <c r="H50" s="603" t="s">
        <v>80</v>
      </c>
      <c r="I50" s="604"/>
      <c r="J50" s="603" t="s">
        <v>81</v>
      </c>
      <c r="K50" s="605"/>
      <c r="L50" s="604"/>
      <c r="M50" s="606" t="s">
        <v>82</v>
      </c>
      <c r="N50" s="607"/>
      <c r="O50" s="608"/>
      <c r="P50" s="609" t="s">
        <v>83</v>
      </c>
      <c r="Q50" s="610"/>
      <c r="R50" s="611" t="s">
        <v>84</v>
      </c>
      <c r="S50" s="612"/>
      <c r="T50" s="613" t="s">
        <v>85</v>
      </c>
      <c r="U50" s="614"/>
      <c r="V50" s="615"/>
      <c r="W50" s="90"/>
    </row>
    <row r="51" spans="1:23" ht="18.75" x14ac:dyDescent="0.3">
      <c r="A51" s="590"/>
      <c r="B51" s="595"/>
      <c r="C51" s="596"/>
      <c r="D51" s="597"/>
      <c r="E51" s="597"/>
      <c r="F51" s="622" t="s">
        <v>49</v>
      </c>
      <c r="G51" s="644" t="s">
        <v>48</v>
      </c>
      <c r="H51" s="646" t="s">
        <v>75</v>
      </c>
      <c r="I51" s="648" t="s">
        <v>76</v>
      </c>
      <c r="J51" s="650" t="s">
        <v>50</v>
      </c>
      <c r="K51" s="633" t="s">
        <v>38</v>
      </c>
      <c r="L51" s="652" t="s">
        <v>37</v>
      </c>
      <c r="M51" s="633" t="s">
        <v>50</v>
      </c>
      <c r="N51" s="633" t="s">
        <v>38</v>
      </c>
      <c r="O51" s="636" t="s">
        <v>37</v>
      </c>
      <c r="P51" s="638" t="s">
        <v>77</v>
      </c>
      <c r="Q51" s="640" t="s">
        <v>78</v>
      </c>
      <c r="R51" s="642" t="s">
        <v>79</v>
      </c>
      <c r="S51" s="624" t="s">
        <v>78</v>
      </c>
      <c r="T51" s="616"/>
      <c r="U51" s="617"/>
      <c r="V51" s="618"/>
      <c r="W51" s="90"/>
    </row>
    <row r="52" spans="1:23" ht="50.25" customHeight="1" thickBot="1" x14ac:dyDescent="0.35">
      <c r="A52" s="591"/>
      <c r="B52" s="598"/>
      <c r="C52" s="599"/>
      <c r="D52" s="600"/>
      <c r="E52" s="600"/>
      <c r="F52" s="623"/>
      <c r="G52" s="645"/>
      <c r="H52" s="647"/>
      <c r="I52" s="649"/>
      <c r="J52" s="651"/>
      <c r="K52" s="635"/>
      <c r="L52" s="653"/>
      <c r="M52" s="634"/>
      <c r="N52" s="635"/>
      <c r="O52" s="637"/>
      <c r="P52" s="639"/>
      <c r="Q52" s="641"/>
      <c r="R52" s="643"/>
      <c r="S52" s="625"/>
      <c r="T52" s="619"/>
      <c r="U52" s="620"/>
      <c r="V52" s="621"/>
      <c r="W52" s="90"/>
    </row>
    <row r="53" spans="1:23" ht="30" customHeight="1" x14ac:dyDescent="0.3">
      <c r="A53" s="228" t="s">
        <v>103</v>
      </c>
      <c r="B53" s="654"/>
      <c r="C53" s="655"/>
      <c r="D53" s="656"/>
      <c r="E53" s="139"/>
      <c r="F53" s="76"/>
      <c r="G53" s="77"/>
      <c r="H53" s="65"/>
      <c r="I53" s="110"/>
      <c r="J53" s="65"/>
      <c r="K53" s="68"/>
      <c r="L53" s="70"/>
      <c r="M53" s="81"/>
      <c r="N53" s="81"/>
      <c r="O53" s="229"/>
      <c r="P53" s="65"/>
      <c r="Q53" s="111"/>
      <c r="R53" s="112"/>
      <c r="S53" s="113"/>
      <c r="T53" s="230"/>
      <c r="U53" s="231"/>
      <c r="V53" s="232"/>
      <c r="W53" s="90"/>
    </row>
    <row r="54" spans="1:23" ht="51.75" customHeight="1" x14ac:dyDescent="0.3">
      <c r="A54" s="675" t="s">
        <v>92</v>
      </c>
      <c r="B54" s="630" t="s">
        <v>126</v>
      </c>
      <c r="C54" s="631"/>
      <c r="D54" s="632"/>
      <c r="E54" s="160" t="s">
        <v>97</v>
      </c>
      <c r="F54" s="186">
        <v>137</v>
      </c>
      <c r="G54" s="234">
        <v>26734500</v>
      </c>
      <c r="H54" s="235"/>
      <c r="I54" s="236"/>
      <c r="J54" s="114">
        <v>137</v>
      </c>
      <c r="K54" s="49">
        <v>82</v>
      </c>
      <c r="L54" s="161">
        <f>K54/J54</f>
        <v>0.59854014598540151</v>
      </c>
      <c r="M54" s="237">
        <v>26734500</v>
      </c>
      <c r="N54" s="237">
        <v>15999000</v>
      </c>
      <c r="O54" s="238">
        <f>N54/M54</f>
        <v>0.59844021769623523</v>
      </c>
      <c r="P54" s="239">
        <v>81</v>
      </c>
      <c r="Q54" s="278">
        <f>P54/J54</f>
        <v>0.59124087591240881</v>
      </c>
      <c r="R54" s="117">
        <f>N54</f>
        <v>15999000</v>
      </c>
      <c r="S54" s="164">
        <f>O54</f>
        <v>0.59844021769623523</v>
      </c>
      <c r="T54" s="165"/>
      <c r="U54" s="166"/>
      <c r="V54" s="167"/>
      <c r="W54" s="90"/>
    </row>
    <row r="55" spans="1:23" ht="51.75" customHeight="1" x14ac:dyDescent="0.3">
      <c r="A55" s="676"/>
      <c r="B55" s="630" t="s">
        <v>127</v>
      </c>
      <c r="C55" s="631"/>
      <c r="D55" s="632"/>
      <c r="E55" s="160" t="s">
        <v>97</v>
      </c>
      <c r="F55" s="186">
        <v>200</v>
      </c>
      <c r="G55" s="234">
        <v>50660000</v>
      </c>
      <c r="H55" s="235"/>
      <c r="I55" s="236"/>
      <c r="J55" s="114">
        <v>200</v>
      </c>
      <c r="K55" s="49">
        <v>134</v>
      </c>
      <c r="L55" s="161">
        <f t="shared" ref="L55:L59" si="4">K55/J55</f>
        <v>0.67</v>
      </c>
      <c r="M55" s="237">
        <v>50660000</v>
      </c>
      <c r="N55" s="237">
        <v>33318500</v>
      </c>
      <c r="O55" s="238">
        <f t="shared" ref="O55:O59" si="5">N55/M55</f>
        <v>0.65768851164626929</v>
      </c>
      <c r="P55" s="239">
        <v>135</v>
      </c>
      <c r="Q55" s="278">
        <f>P55/J55</f>
        <v>0.67500000000000004</v>
      </c>
      <c r="R55" s="117">
        <f t="shared" ref="R55:S64" si="6">N55</f>
        <v>33318500</v>
      </c>
      <c r="S55" s="164">
        <f t="shared" si="6"/>
        <v>0.65768851164626929</v>
      </c>
      <c r="T55" s="165"/>
      <c r="U55" s="166"/>
      <c r="V55" s="167"/>
      <c r="W55" s="90"/>
    </row>
    <row r="56" spans="1:23" ht="51.75" customHeight="1" x14ac:dyDescent="0.3">
      <c r="A56" s="279"/>
      <c r="B56" s="630" t="s">
        <v>128</v>
      </c>
      <c r="C56" s="631"/>
      <c r="D56" s="632"/>
      <c r="E56" s="160" t="s">
        <v>129</v>
      </c>
      <c r="F56" s="186">
        <v>137</v>
      </c>
      <c r="G56" s="234">
        <v>2070080</v>
      </c>
      <c r="H56" s="235"/>
      <c r="I56" s="236"/>
      <c r="J56" s="114">
        <v>137</v>
      </c>
      <c r="K56" s="49">
        <v>135</v>
      </c>
      <c r="L56" s="161">
        <f t="shared" si="4"/>
        <v>0.98540145985401462</v>
      </c>
      <c r="M56" s="237">
        <v>2100300</v>
      </c>
      <c r="N56" s="237">
        <v>2070080</v>
      </c>
      <c r="O56" s="238">
        <f t="shared" si="5"/>
        <v>0.98561157929819554</v>
      </c>
      <c r="P56" s="239">
        <v>135</v>
      </c>
      <c r="Q56" s="278">
        <f t="shared" ref="Q56:Q59" si="7">P56/J56</f>
        <v>0.98540145985401462</v>
      </c>
      <c r="R56" s="117">
        <f t="shared" si="6"/>
        <v>2070080</v>
      </c>
      <c r="S56" s="164">
        <f t="shared" si="6"/>
        <v>0.98561157929819554</v>
      </c>
      <c r="T56" s="165"/>
      <c r="U56" s="166"/>
      <c r="V56" s="167"/>
      <c r="W56" s="90"/>
    </row>
    <row r="57" spans="1:23" ht="51.75" customHeight="1" x14ac:dyDescent="0.3">
      <c r="A57" s="279"/>
      <c r="B57" s="630" t="s">
        <v>130</v>
      </c>
      <c r="C57" s="631"/>
      <c r="D57" s="632"/>
      <c r="E57" s="160" t="s">
        <v>129</v>
      </c>
      <c r="F57" s="186">
        <v>200</v>
      </c>
      <c r="G57" s="234">
        <v>3027340</v>
      </c>
      <c r="H57" s="235"/>
      <c r="I57" s="236"/>
      <c r="J57" s="114">
        <v>200</v>
      </c>
      <c r="K57" s="49">
        <v>200</v>
      </c>
      <c r="L57" s="161">
        <f t="shared" si="4"/>
        <v>1</v>
      </c>
      <c r="M57" s="237">
        <v>3027340</v>
      </c>
      <c r="N57" s="237">
        <v>3027340</v>
      </c>
      <c r="O57" s="238">
        <f t="shared" si="5"/>
        <v>1</v>
      </c>
      <c r="P57" s="239">
        <v>200</v>
      </c>
      <c r="Q57" s="278">
        <f t="shared" si="7"/>
        <v>1</v>
      </c>
      <c r="R57" s="117">
        <f t="shared" si="6"/>
        <v>3027340</v>
      </c>
      <c r="S57" s="164">
        <f t="shared" si="6"/>
        <v>1</v>
      </c>
      <c r="T57" s="165"/>
      <c r="U57" s="166"/>
      <c r="V57" s="167"/>
      <c r="W57" s="90"/>
    </row>
    <row r="58" spans="1:23" ht="51.75" customHeight="1" x14ac:dyDescent="0.3">
      <c r="A58" s="279"/>
      <c r="B58" s="630" t="s">
        <v>131</v>
      </c>
      <c r="C58" s="631"/>
      <c r="D58" s="632"/>
      <c r="E58" s="160" t="s">
        <v>132</v>
      </c>
      <c r="F58" s="186">
        <v>1000</v>
      </c>
      <c r="G58" s="234">
        <v>68375505</v>
      </c>
      <c r="H58" s="235"/>
      <c r="I58" s="236"/>
      <c r="J58" s="114">
        <v>820</v>
      </c>
      <c r="K58" s="49">
        <v>1001</v>
      </c>
      <c r="L58" s="161">
        <f t="shared" si="4"/>
        <v>1.2207317073170731</v>
      </c>
      <c r="M58" s="237">
        <v>71776239</v>
      </c>
      <c r="N58" s="237">
        <v>69809785.319999993</v>
      </c>
      <c r="O58" s="238">
        <f t="shared" si="5"/>
        <v>0.97260299916243864</v>
      </c>
      <c r="P58" s="239">
        <v>733</v>
      </c>
      <c r="Q58" s="278">
        <f t="shared" si="7"/>
        <v>0.89390243902439026</v>
      </c>
      <c r="R58" s="117">
        <f t="shared" si="6"/>
        <v>69809785.319999993</v>
      </c>
      <c r="S58" s="164">
        <f t="shared" si="6"/>
        <v>0.97260299916243864</v>
      </c>
      <c r="T58" s="165"/>
      <c r="U58" s="166"/>
      <c r="V58" s="167"/>
      <c r="W58" s="90"/>
    </row>
    <row r="59" spans="1:23" ht="51.75" customHeight="1" x14ac:dyDescent="0.3">
      <c r="A59" s="279"/>
      <c r="B59" s="630" t="s">
        <v>133</v>
      </c>
      <c r="C59" s="631"/>
      <c r="D59" s="632"/>
      <c r="E59" s="160" t="s">
        <v>132</v>
      </c>
      <c r="F59" s="186">
        <v>292</v>
      </c>
      <c r="G59" s="234">
        <v>17765881</v>
      </c>
      <c r="H59" s="235"/>
      <c r="I59" s="236"/>
      <c r="J59" s="114">
        <v>638</v>
      </c>
      <c r="K59" s="49">
        <v>455</v>
      </c>
      <c r="L59" s="161">
        <f t="shared" si="4"/>
        <v>0.71316614420062696</v>
      </c>
      <c r="M59" s="237">
        <v>42192897</v>
      </c>
      <c r="N59" s="237">
        <v>29968440.899999999</v>
      </c>
      <c r="O59" s="238">
        <f t="shared" si="5"/>
        <v>0.71027217922485864</v>
      </c>
      <c r="P59" s="239">
        <v>407</v>
      </c>
      <c r="Q59" s="278">
        <f t="shared" si="7"/>
        <v>0.63793103448275867</v>
      </c>
      <c r="R59" s="117">
        <f t="shared" si="6"/>
        <v>29968440.899999999</v>
      </c>
      <c r="S59" s="164">
        <f t="shared" si="6"/>
        <v>0.71027217922485864</v>
      </c>
      <c r="T59" s="165"/>
      <c r="U59" s="166"/>
      <c r="V59" s="167"/>
      <c r="W59" s="90"/>
    </row>
    <row r="60" spans="1:23" ht="30" customHeight="1" x14ac:dyDescent="0.3">
      <c r="A60" s="242" t="s">
        <v>110</v>
      </c>
      <c r="B60" s="243"/>
      <c r="C60" s="244"/>
      <c r="D60" s="245"/>
      <c r="E60" s="160"/>
      <c r="F60" s="186"/>
      <c r="G60" s="234"/>
      <c r="H60" s="114"/>
      <c r="I60" s="115"/>
      <c r="J60" s="114"/>
      <c r="K60" s="49"/>
      <c r="L60" s="161"/>
      <c r="M60" s="237"/>
      <c r="N60" s="237"/>
      <c r="O60" s="238"/>
      <c r="P60" s="239"/>
      <c r="Q60" s="116"/>
      <c r="R60" s="117"/>
      <c r="S60" s="164"/>
      <c r="T60" s="165"/>
      <c r="U60" s="166"/>
      <c r="V60" s="167"/>
      <c r="W60" s="90"/>
    </row>
    <row r="61" spans="1:23" ht="69.75" customHeight="1" x14ac:dyDescent="0.3">
      <c r="A61" s="675" t="s">
        <v>100</v>
      </c>
      <c r="B61" s="630" t="s">
        <v>134</v>
      </c>
      <c r="C61" s="631"/>
      <c r="D61" s="632"/>
      <c r="E61" s="160" t="s">
        <v>120</v>
      </c>
      <c r="F61" s="246">
        <v>1224</v>
      </c>
      <c r="G61" s="247">
        <v>16156800</v>
      </c>
      <c r="H61" s="235"/>
      <c r="I61" s="236"/>
      <c r="J61" s="239">
        <v>1224</v>
      </c>
      <c r="K61" s="248">
        <v>1032</v>
      </c>
      <c r="L61" s="161">
        <f t="shared" ref="L61" si="8">K61/J61</f>
        <v>0.84313725490196079</v>
      </c>
      <c r="M61" s="250">
        <v>13889066</v>
      </c>
      <c r="N61" s="237">
        <v>13222880</v>
      </c>
      <c r="O61" s="238">
        <f t="shared" ref="O61:O64" si="9">N61/M61</f>
        <v>0.95203521964687909</v>
      </c>
      <c r="P61" s="239">
        <v>1032</v>
      </c>
      <c r="Q61" s="278">
        <f t="shared" ref="Q61" si="10">P61/J61</f>
        <v>0.84313725490196079</v>
      </c>
      <c r="R61" s="117">
        <v>13222880</v>
      </c>
      <c r="S61" s="164">
        <f t="shared" si="6"/>
        <v>0.95203521964687909</v>
      </c>
      <c r="T61" s="165"/>
      <c r="U61" s="166"/>
      <c r="V61" s="167"/>
      <c r="W61" s="90"/>
    </row>
    <row r="62" spans="1:23" ht="51.75" customHeight="1" x14ac:dyDescent="0.3">
      <c r="A62" s="676"/>
      <c r="B62" s="630" t="s">
        <v>135</v>
      </c>
      <c r="C62" s="631"/>
      <c r="D62" s="632"/>
      <c r="E62" s="160"/>
      <c r="F62" s="186"/>
      <c r="G62" s="234"/>
      <c r="H62" s="235"/>
      <c r="I62" s="236"/>
      <c r="J62" s="239"/>
      <c r="K62" s="248"/>
      <c r="L62" s="249"/>
      <c r="M62" s="255">
        <v>11969780</v>
      </c>
      <c r="N62" s="237">
        <v>0</v>
      </c>
      <c r="O62" s="238">
        <f t="shared" si="9"/>
        <v>0</v>
      </c>
      <c r="P62" s="239">
        <v>0</v>
      </c>
      <c r="Q62" s="278"/>
      <c r="R62" s="117">
        <f t="shared" si="6"/>
        <v>0</v>
      </c>
      <c r="S62" s="164">
        <f t="shared" si="6"/>
        <v>0</v>
      </c>
      <c r="T62" s="165"/>
      <c r="U62" s="166"/>
      <c r="V62" s="167"/>
      <c r="W62" s="90"/>
    </row>
    <row r="63" spans="1:23" ht="30" customHeight="1" x14ac:dyDescent="0.3">
      <c r="A63" s="242" t="s">
        <v>114</v>
      </c>
      <c r="B63" s="663"/>
      <c r="C63" s="664"/>
      <c r="D63" s="665"/>
      <c r="E63" s="160"/>
      <c r="F63" s="78"/>
      <c r="G63" s="79"/>
      <c r="H63" s="114"/>
      <c r="I63" s="115"/>
      <c r="J63" s="114"/>
      <c r="K63" s="49"/>
      <c r="L63" s="161"/>
      <c r="M63" s="259"/>
      <c r="N63" s="259"/>
      <c r="O63" s="260"/>
      <c r="P63" s="239"/>
      <c r="Q63" s="278"/>
      <c r="R63" s="117"/>
      <c r="S63" s="164"/>
      <c r="T63" s="165"/>
      <c r="U63" s="166"/>
      <c r="V63" s="167"/>
      <c r="W63" s="90"/>
    </row>
    <row r="64" spans="1:23" ht="69.75" x14ac:dyDescent="0.25">
      <c r="A64" s="262" t="s">
        <v>94</v>
      </c>
      <c r="B64" s="663" t="s">
        <v>95</v>
      </c>
      <c r="C64" s="664"/>
      <c r="D64" s="665"/>
      <c r="E64" s="160" t="s">
        <v>125</v>
      </c>
      <c r="F64" s="78" t="s">
        <v>96</v>
      </c>
      <c r="G64" s="247">
        <v>3375198</v>
      </c>
      <c r="H64" s="235" t="s">
        <v>96</v>
      </c>
      <c r="I64" s="235" t="s">
        <v>96</v>
      </c>
      <c r="J64" s="280" t="s">
        <v>96</v>
      </c>
      <c r="K64" s="281" t="s">
        <v>96</v>
      </c>
      <c r="L64" s="220" t="s">
        <v>96</v>
      </c>
      <c r="M64" s="255">
        <v>4167198</v>
      </c>
      <c r="N64" s="237">
        <v>2747106.59</v>
      </c>
      <c r="O64" s="238">
        <f t="shared" si="9"/>
        <v>0.65922151767206638</v>
      </c>
      <c r="P64" s="239" t="s">
        <v>96</v>
      </c>
      <c r="Q64" s="278" t="s">
        <v>96</v>
      </c>
      <c r="R64" s="117">
        <f t="shared" si="6"/>
        <v>2747106.59</v>
      </c>
      <c r="S64" s="164">
        <f t="shared" si="6"/>
        <v>0.65922151767206638</v>
      </c>
      <c r="T64" s="165"/>
      <c r="U64" s="166"/>
      <c r="V64" s="167"/>
    </row>
    <row r="65" spans="1:22" ht="29.25" thickBot="1" x14ac:dyDescent="0.5">
      <c r="A65" s="264"/>
      <c r="B65" s="678"/>
      <c r="C65" s="679"/>
      <c r="D65" s="680"/>
      <c r="E65" s="92"/>
      <c r="F65" s="80"/>
      <c r="G65" s="79"/>
      <c r="H65" s="120"/>
      <c r="I65" s="121"/>
      <c r="J65" s="75"/>
      <c r="K65" s="71"/>
      <c r="L65" s="266"/>
      <c r="M65" s="86"/>
      <c r="N65" s="267"/>
      <c r="O65" s="238"/>
      <c r="P65" s="75"/>
      <c r="Q65" s="122"/>
      <c r="R65" s="123"/>
      <c r="S65" s="270"/>
      <c r="T65" s="130"/>
      <c r="U65" s="131"/>
      <c r="V65" s="132"/>
    </row>
    <row r="66" spans="1:22" ht="21.75" thickBot="1" x14ac:dyDescent="0.4">
      <c r="A66" s="271"/>
      <c r="B66" s="272"/>
      <c r="C66" s="272"/>
      <c r="D66" s="272"/>
      <c r="E66" s="272"/>
      <c r="F66" s="272"/>
      <c r="G66" s="274">
        <f>SUM(G54:G64)</f>
        <v>188165304</v>
      </c>
      <c r="H66" s="272"/>
      <c r="I66" s="272"/>
      <c r="J66" s="272">
        <f>SUM(J54:J65)</f>
        <v>3356</v>
      </c>
      <c r="K66" s="272">
        <f>SUM(K54:K65)</f>
        <v>3039</v>
      </c>
      <c r="L66" s="273">
        <f>K66/J66</f>
        <v>0.90554231227651971</v>
      </c>
      <c r="M66" s="274">
        <f>SUM(M54:M65)</f>
        <v>226517320</v>
      </c>
      <c r="N66" s="274">
        <f>SUM(N54:N65)</f>
        <v>170163132.81</v>
      </c>
      <c r="O66" s="282">
        <f>N66/M66</f>
        <v>0.75121466566000339</v>
      </c>
      <c r="P66" s="283">
        <f>SUM(P54:P62)</f>
        <v>2723</v>
      </c>
      <c r="Q66" s="284">
        <f>P66/J66</f>
        <v>0.81138259833134685</v>
      </c>
      <c r="R66" s="285">
        <f>SUM(R54:R65)</f>
        <v>170163132.81</v>
      </c>
      <c r="S66" s="273"/>
      <c r="T66" s="276"/>
      <c r="U66" s="276"/>
      <c r="V66" s="277"/>
    </row>
    <row r="67" spans="1:22" ht="34.5" thickBot="1" x14ac:dyDescent="0.55000000000000004">
      <c r="A67" s="157" t="s">
        <v>39</v>
      </c>
      <c r="B67" s="585">
        <v>2021</v>
      </c>
      <c r="C67" s="586"/>
      <c r="D67" s="586"/>
      <c r="E67" s="586"/>
      <c r="F67" s="586"/>
      <c r="G67" s="586"/>
      <c r="H67" s="586"/>
      <c r="I67" s="586"/>
      <c r="J67" s="586"/>
      <c r="K67" s="586"/>
      <c r="L67" s="586"/>
      <c r="M67" s="586"/>
      <c r="N67" s="586"/>
      <c r="O67" s="586"/>
      <c r="P67" s="586"/>
      <c r="Q67" s="586"/>
      <c r="R67" s="586"/>
      <c r="S67" s="586"/>
      <c r="T67" s="587"/>
      <c r="U67" s="588"/>
      <c r="V67" s="22"/>
    </row>
    <row r="68" spans="1:22" ht="34.5" customHeight="1" thickBot="1" x14ac:dyDescent="0.3">
      <c r="A68" s="589" t="s">
        <v>42</v>
      </c>
      <c r="B68" s="592" t="s">
        <v>43</v>
      </c>
      <c r="C68" s="593"/>
      <c r="D68" s="594"/>
      <c r="E68" s="594" t="s">
        <v>44</v>
      </c>
      <c r="F68" s="601" t="s">
        <v>64</v>
      </c>
      <c r="G68" s="602"/>
      <c r="H68" s="603" t="s">
        <v>80</v>
      </c>
      <c r="I68" s="604"/>
      <c r="J68" s="603" t="s">
        <v>81</v>
      </c>
      <c r="K68" s="605"/>
      <c r="L68" s="604"/>
      <c r="M68" s="606" t="s">
        <v>82</v>
      </c>
      <c r="N68" s="607"/>
      <c r="O68" s="608"/>
      <c r="P68" s="609" t="s">
        <v>83</v>
      </c>
      <c r="Q68" s="610"/>
      <c r="R68" s="611" t="s">
        <v>84</v>
      </c>
      <c r="S68" s="612"/>
      <c r="T68" s="613" t="s">
        <v>85</v>
      </c>
      <c r="U68" s="614"/>
      <c r="V68" s="615"/>
    </row>
    <row r="69" spans="1:22" ht="36.75" customHeight="1" x14ac:dyDescent="0.25">
      <c r="A69" s="590"/>
      <c r="B69" s="595"/>
      <c r="C69" s="596"/>
      <c r="D69" s="597"/>
      <c r="E69" s="597"/>
      <c r="F69" s="622" t="s">
        <v>49</v>
      </c>
      <c r="G69" s="644" t="s">
        <v>48</v>
      </c>
      <c r="H69" s="646" t="s">
        <v>75</v>
      </c>
      <c r="I69" s="648" t="s">
        <v>76</v>
      </c>
      <c r="J69" s="650" t="s">
        <v>50</v>
      </c>
      <c r="K69" s="633" t="s">
        <v>38</v>
      </c>
      <c r="L69" s="652" t="s">
        <v>37</v>
      </c>
      <c r="M69" s="633" t="s">
        <v>50</v>
      </c>
      <c r="N69" s="633" t="s">
        <v>38</v>
      </c>
      <c r="O69" s="636" t="s">
        <v>37</v>
      </c>
      <c r="P69" s="638" t="s">
        <v>77</v>
      </c>
      <c r="Q69" s="640" t="s">
        <v>78</v>
      </c>
      <c r="R69" s="642" t="s">
        <v>79</v>
      </c>
      <c r="S69" s="624" t="s">
        <v>78</v>
      </c>
      <c r="T69" s="616"/>
      <c r="U69" s="617"/>
      <c r="V69" s="618"/>
    </row>
    <row r="70" spans="1:22" ht="57" customHeight="1" thickBot="1" x14ac:dyDescent="0.3">
      <c r="A70" s="591"/>
      <c r="B70" s="598"/>
      <c r="C70" s="599"/>
      <c r="D70" s="600"/>
      <c r="E70" s="600"/>
      <c r="F70" s="623"/>
      <c r="G70" s="645"/>
      <c r="H70" s="647"/>
      <c r="I70" s="649"/>
      <c r="J70" s="651"/>
      <c r="K70" s="635"/>
      <c r="L70" s="653"/>
      <c r="M70" s="634"/>
      <c r="N70" s="635"/>
      <c r="O70" s="637"/>
      <c r="P70" s="639"/>
      <c r="Q70" s="641"/>
      <c r="R70" s="643"/>
      <c r="S70" s="625"/>
      <c r="T70" s="619"/>
      <c r="U70" s="620"/>
      <c r="V70" s="621"/>
    </row>
    <row r="71" spans="1:22" ht="30" customHeight="1" x14ac:dyDescent="0.25">
      <c r="A71" s="228" t="s">
        <v>103</v>
      </c>
      <c r="B71" s="654"/>
      <c r="C71" s="655"/>
      <c r="D71" s="656"/>
      <c r="E71" s="139"/>
      <c r="F71" s="76"/>
      <c r="G71" s="77"/>
      <c r="H71" s="65"/>
      <c r="I71" s="110"/>
      <c r="J71" s="65"/>
      <c r="K71" s="68"/>
      <c r="L71" s="286"/>
      <c r="M71" s="287"/>
      <c r="N71" s="288"/>
      <c r="O71" s="289"/>
      <c r="P71" s="290"/>
      <c r="Q71" s="291"/>
      <c r="R71" s="112"/>
      <c r="S71" s="113"/>
      <c r="T71" s="230"/>
      <c r="U71" s="231"/>
      <c r="V71" s="232"/>
    </row>
    <row r="72" spans="1:22" ht="53.25" customHeight="1" x14ac:dyDescent="0.25">
      <c r="A72" s="675" t="s">
        <v>92</v>
      </c>
      <c r="B72" s="630" t="s">
        <v>126</v>
      </c>
      <c r="C72" s="631"/>
      <c r="D72" s="632"/>
      <c r="E72" s="160" t="s">
        <v>97</v>
      </c>
      <c r="F72" s="186">
        <v>0</v>
      </c>
      <c r="G72" s="234">
        <v>0</v>
      </c>
      <c r="H72" s="235">
        <v>44197</v>
      </c>
      <c r="I72" s="235">
        <v>44561</v>
      </c>
      <c r="J72" s="114">
        <f>'[1]IAFF (1)'!G19</f>
        <v>106</v>
      </c>
      <c r="K72" s="49">
        <f>'[1]IAFF (1)'!H19</f>
        <v>32</v>
      </c>
      <c r="L72" s="292">
        <f>K72/J72</f>
        <v>0.30188679245283018</v>
      </c>
      <c r="M72" s="255">
        <f>'[1]IAFF (1)'!K19</f>
        <v>23136000</v>
      </c>
      <c r="N72" s="237">
        <f>'[1]IAFF (1)'!L19</f>
        <v>6245000</v>
      </c>
      <c r="O72" s="293">
        <f>N72/M72</f>
        <v>0.2699256569847856</v>
      </c>
      <c r="P72" s="239">
        <f>K72</f>
        <v>32</v>
      </c>
      <c r="Q72" s="294">
        <f>L72</f>
        <v>0.30188679245283018</v>
      </c>
      <c r="R72" s="117">
        <f t="shared" ref="R72:S77" si="11">N72</f>
        <v>6245000</v>
      </c>
      <c r="S72" s="164">
        <f t="shared" si="11"/>
        <v>0.2699256569847856</v>
      </c>
      <c r="T72" s="165"/>
      <c r="U72" s="166"/>
      <c r="V72" s="167"/>
    </row>
    <row r="73" spans="1:22" ht="43.5" customHeight="1" x14ac:dyDescent="0.25">
      <c r="A73" s="677"/>
      <c r="B73" s="630" t="s">
        <v>127</v>
      </c>
      <c r="C73" s="631"/>
      <c r="D73" s="632"/>
      <c r="E73" s="160" t="s">
        <v>97</v>
      </c>
      <c r="F73" s="186">
        <v>0</v>
      </c>
      <c r="G73" s="234">
        <v>0</v>
      </c>
      <c r="H73" s="235">
        <v>44197</v>
      </c>
      <c r="I73" s="235">
        <v>44561</v>
      </c>
      <c r="J73" s="114">
        <f>'[1]IAFF (1)'!G20</f>
        <v>86</v>
      </c>
      <c r="K73" s="49">
        <f>'[1]IAFF (1)'!H20</f>
        <v>37</v>
      </c>
      <c r="L73" s="292">
        <f>K73/J73</f>
        <v>0.43023255813953487</v>
      </c>
      <c r="M73" s="255">
        <f>'[1]IAFF (1)'!K20</f>
        <v>22113000</v>
      </c>
      <c r="N73" s="237">
        <f>'[1]IAFF (1)'!L20</f>
        <v>7805300</v>
      </c>
      <c r="O73" s="293">
        <f>N73/M73</f>
        <v>0.35297336408447522</v>
      </c>
      <c r="P73" s="239">
        <f t="shared" ref="P73:Q81" si="12">K73</f>
        <v>37</v>
      </c>
      <c r="Q73" s="294">
        <f t="shared" si="12"/>
        <v>0.43023255813953487</v>
      </c>
      <c r="R73" s="117">
        <f t="shared" si="11"/>
        <v>7805300</v>
      </c>
      <c r="S73" s="164">
        <f t="shared" si="11"/>
        <v>0.35297336408447522</v>
      </c>
      <c r="T73" s="165"/>
      <c r="U73" s="166"/>
      <c r="V73" s="167"/>
    </row>
    <row r="74" spans="1:22" ht="37.5" customHeight="1" x14ac:dyDescent="0.25">
      <c r="A74" s="677"/>
      <c r="B74" s="630" t="s">
        <v>128</v>
      </c>
      <c r="C74" s="631"/>
      <c r="D74" s="632"/>
      <c r="E74" s="160" t="s">
        <v>129</v>
      </c>
      <c r="F74" s="186">
        <v>0</v>
      </c>
      <c r="G74" s="234">
        <v>0</v>
      </c>
      <c r="H74" s="235">
        <v>44197</v>
      </c>
      <c r="I74" s="235">
        <v>44561</v>
      </c>
      <c r="J74" s="114">
        <f>'[1]IAFF (1)'!G21</f>
        <v>57</v>
      </c>
      <c r="K74" s="49">
        <f>'[1]IAFF (1)'!H22</f>
        <v>0</v>
      </c>
      <c r="L74" s="292">
        <v>0</v>
      </c>
      <c r="M74" s="255">
        <f>'[1]IAFF (1)'!K21</f>
        <v>876543</v>
      </c>
      <c r="N74" s="237">
        <f>'[1]IAFF (1)'!L21</f>
        <v>0</v>
      </c>
      <c r="O74" s="293">
        <v>0</v>
      </c>
      <c r="P74" s="239">
        <f t="shared" si="12"/>
        <v>0</v>
      </c>
      <c r="Q74" s="294">
        <f t="shared" si="12"/>
        <v>0</v>
      </c>
      <c r="R74" s="117">
        <f t="shared" si="11"/>
        <v>0</v>
      </c>
      <c r="S74" s="164">
        <v>0</v>
      </c>
      <c r="T74" s="165"/>
      <c r="U74" s="166"/>
      <c r="V74" s="167"/>
    </row>
    <row r="75" spans="1:22" ht="37.5" customHeight="1" x14ac:dyDescent="0.25">
      <c r="A75" s="677"/>
      <c r="B75" s="630" t="s">
        <v>130</v>
      </c>
      <c r="C75" s="631"/>
      <c r="D75" s="632"/>
      <c r="E75" s="160" t="s">
        <v>129</v>
      </c>
      <c r="F75" s="186">
        <v>0</v>
      </c>
      <c r="G75" s="234">
        <v>0</v>
      </c>
      <c r="H75" s="235">
        <v>44197</v>
      </c>
      <c r="I75" s="235">
        <v>44561</v>
      </c>
      <c r="J75" s="114">
        <f>'[1]IAFF (1)'!G22</f>
        <v>18</v>
      </c>
      <c r="K75" s="295">
        <v>0</v>
      </c>
      <c r="L75" s="292">
        <v>0</v>
      </c>
      <c r="M75" s="255">
        <f>'[1]IAFF (1)'!K22</f>
        <v>268080</v>
      </c>
      <c r="N75" s="237">
        <f>'[1]IAFF (1)'!L22</f>
        <v>0</v>
      </c>
      <c r="O75" s="293">
        <v>0</v>
      </c>
      <c r="P75" s="239">
        <f t="shared" si="12"/>
        <v>0</v>
      </c>
      <c r="Q75" s="294">
        <f t="shared" si="12"/>
        <v>0</v>
      </c>
      <c r="R75" s="117"/>
      <c r="S75" s="164"/>
      <c r="T75" s="165"/>
      <c r="U75" s="166"/>
      <c r="V75" s="167"/>
    </row>
    <row r="76" spans="1:22" ht="48.75" customHeight="1" x14ac:dyDescent="0.25">
      <c r="A76" s="677"/>
      <c r="B76" s="630" t="s">
        <v>131</v>
      </c>
      <c r="C76" s="631"/>
      <c r="D76" s="632"/>
      <c r="E76" s="160" t="s">
        <v>132</v>
      </c>
      <c r="F76" s="186">
        <v>0</v>
      </c>
      <c r="G76" s="234">
        <v>0</v>
      </c>
      <c r="H76" s="235">
        <v>44197</v>
      </c>
      <c r="I76" s="235">
        <v>44561</v>
      </c>
      <c r="J76" s="114">
        <f>'[1]IAFF (1)'!G23</f>
        <v>12</v>
      </c>
      <c r="K76" s="114">
        <f>'[1]IAFF (1)'!H23</f>
        <v>12</v>
      </c>
      <c r="L76" s="292">
        <f>K76/J76</f>
        <v>1</v>
      </c>
      <c r="M76" s="255">
        <f>'[1]IAFF (1)'!K23</f>
        <v>1350000</v>
      </c>
      <c r="N76" s="237">
        <f>'[1]IAFF (1)'!L23</f>
        <v>807438.92</v>
      </c>
      <c r="O76" s="293">
        <f>N76/M76</f>
        <v>0.59810290370370378</v>
      </c>
      <c r="P76" s="239">
        <f t="shared" si="12"/>
        <v>12</v>
      </c>
      <c r="Q76" s="294">
        <f t="shared" si="12"/>
        <v>1</v>
      </c>
      <c r="R76" s="117">
        <f t="shared" si="11"/>
        <v>807438.92</v>
      </c>
      <c r="S76" s="164">
        <f t="shared" si="11"/>
        <v>0.59810290370370378</v>
      </c>
      <c r="T76" s="165"/>
      <c r="U76" s="166"/>
      <c r="V76" s="167"/>
    </row>
    <row r="77" spans="1:22" ht="50.25" customHeight="1" x14ac:dyDescent="0.25">
      <c r="A77" s="676"/>
      <c r="B77" s="630" t="s">
        <v>133</v>
      </c>
      <c r="C77" s="631"/>
      <c r="D77" s="632"/>
      <c r="E77" s="160" t="s">
        <v>132</v>
      </c>
      <c r="F77" s="186">
        <v>0</v>
      </c>
      <c r="G77" s="234">
        <v>0</v>
      </c>
      <c r="H77" s="235">
        <v>44197</v>
      </c>
      <c r="I77" s="235">
        <v>44561</v>
      </c>
      <c r="J77" s="114">
        <f>'[1]IAFF (1)'!G24</f>
        <v>538</v>
      </c>
      <c r="K77" s="296">
        <f>'[1]IAFF (1)'!H24</f>
        <v>538</v>
      </c>
      <c r="L77" s="292">
        <f>K77/J77</f>
        <v>1</v>
      </c>
      <c r="M77" s="255">
        <f>'[1]IAFF (1)'!K24</f>
        <v>45134286</v>
      </c>
      <c r="N77" s="237">
        <f>'[1]IAFF (1)'!L24</f>
        <v>40323767.299999997</v>
      </c>
      <c r="O77" s="293">
        <f>N77/M77</f>
        <v>0.89341764041642302</v>
      </c>
      <c r="P77" s="239">
        <f t="shared" si="12"/>
        <v>538</v>
      </c>
      <c r="Q77" s="294">
        <f t="shared" si="12"/>
        <v>1</v>
      </c>
      <c r="R77" s="117">
        <f t="shared" si="11"/>
        <v>40323767.299999997</v>
      </c>
      <c r="S77" s="164">
        <f t="shared" si="11"/>
        <v>0.89341764041642302</v>
      </c>
      <c r="T77" s="165"/>
      <c r="U77" s="166"/>
      <c r="V77" s="167"/>
    </row>
    <row r="78" spans="1:22" ht="30" customHeight="1" x14ac:dyDescent="0.25">
      <c r="A78" s="242" t="s">
        <v>110</v>
      </c>
      <c r="B78" s="243"/>
      <c r="C78" s="244"/>
      <c r="D78" s="245"/>
      <c r="E78" s="160"/>
      <c r="F78" s="186"/>
      <c r="G78" s="234"/>
      <c r="H78" s="235"/>
      <c r="I78" s="235"/>
      <c r="J78" s="114"/>
      <c r="K78" s="114"/>
      <c r="L78" s="292"/>
      <c r="M78" s="255"/>
      <c r="N78" s="237"/>
      <c r="O78" s="297"/>
      <c r="P78" s="239"/>
      <c r="Q78" s="294"/>
      <c r="R78" s="117"/>
      <c r="S78" s="164"/>
      <c r="T78" s="165"/>
      <c r="U78" s="166"/>
      <c r="V78" s="167"/>
    </row>
    <row r="79" spans="1:22" ht="69.75" customHeight="1" x14ac:dyDescent="0.25">
      <c r="A79" s="675" t="s">
        <v>100</v>
      </c>
      <c r="B79" s="630" t="s">
        <v>134</v>
      </c>
      <c r="C79" s="631"/>
      <c r="D79" s="632"/>
      <c r="E79" s="160" t="s">
        <v>120</v>
      </c>
      <c r="F79" s="246">
        <v>0</v>
      </c>
      <c r="G79" s="247">
        <v>0</v>
      </c>
      <c r="H79" s="235">
        <v>44197</v>
      </c>
      <c r="I79" s="235">
        <v>44561</v>
      </c>
      <c r="J79" s="114">
        <f>'[1]IAFF (1)'!G25</f>
        <v>3331</v>
      </c>
      <c r="K79" s="114">
        <f>'[1]IAFF (1)'!H25</f>
        <v>2754</v>
      </c>
      <c r="L79" s="292">
        <f>K79/J79</f>
        <v>0.82677874512158511</v>
      </c>
      <c r="M79" s="255">
        <f>'[1]IAFF (1)'!K25</f>
        <v>25974679</v>
      </c>
      <c r="N79" s="237">
        <f>'[1]IAFF (1)'!L25</f>
        <v>24179760</v>
      </c>
      <c r="O79" s="293">
        <f>N79/M79</f>
        <v>0.93089735584412803</v>
      </c>
      <c r="P79" s="239">
        <f t="shared" si="12"/>
        <v>2754</v>
      </c>
      <c r="Q79" s="294">
        <f t="shared" si="12"/>
        <v>0.82677874512158511</v>
      </c>
      <c r="R79" s="117">
        <f>N79</f>
        <v>24179760</v>
      </c>
      <c r="S79" s="164">
        <v>0</v>
      </c>
      <c r="T79" s="165"/>
      <c r="U79" s="166"/>
      <c r="V79" s="167"/>
    </row>
    <row r="80" spans="1:22" ht="23.25" customHeight="1" x14ac:dyDescent="0.25">
      <c r="A80" s="677"/>
      <c r="B80" s="298" t="s">
        <v>136</v>
      </c>
      <c r="C80" s="299"/>
      <c r="D80" s="300"/>
      <c r="E80" s="160" t="s">
        <v>101</v>
      </c>
      <c r="F80" s="246">
        <v>0</v>
      </c>
      <c r="G80" s="247">
        <v>0</v>
      </c>
      <c r="H80" s="235">
        <v>44197</v>
      </c>
      <c r="I80" s="235">
        <v>44561</v>
      </c>
      <c r="J80" s="114">
        <f>'[1]IAFF (1)'!G26</f>
        <v>1896</v>
      </c>
      <c r="K80" s="114">
        <f>'[1]IAFF (1)'!H26</f>
        <v>0</v>
      </c>
      <c r="L80" s="292">
        <f>K80/J80</f>
        <v>0</v>
      </c>
      <c r="M80" s="255">
        <f>'[1]IAFF (1)'!K26</f>
        <v>44405951</v>
      </c>
      <c r="N80" s="237">
        <f>'[1]IAFF (1)'!L26</f>
        <v>0</v>
      </c>
      <c r="O80" s="293">
        <f>N80/M80</f>
        <v>0</v>
      </c>
      <c r="P80" s="239">
        <f t="shared" si="12"/>
        <v>0</v>
      </c>
      <c r="Q80" s="294">
        <f t="shared" si="12"/>
        <v>0</v>
      </c>
      <c r="R80" s="117">
        <f>N80</f>
        <v>0</v>
      </c>
      <c r="S80" s="164">
        <v>0</v>
      </c>
      <c r="T80" s="165"/>
      <c r="U80" s="166"/>
      <c r="V80" s="167"/>
    </row>
    <row r="81" spans="1:22" ht="48.75" customHeight="1" x14ac:dyDescent="0.25">
      <c r="A81" s="676"/>
      <c r="B81" s="630" t="s">
        <v>137</v>
      </c>
      <c r="C81" s="631"/>
      <c r="D81" s="632"/>
      <c r="E81" s="160" t="s">
        <v>135</v>
      </c>
      <c r="F81" s="186">
        <v>0</v>
      </c>
      <c r="G81" s="234">
        <v>0</v>
      </c>
      <c r="H81" s="235">
        <v>44197</v>
      </c>
      <c r="I81" s="235">
        <v>44561</v>
      </c>
      <c r="J81" s="114">
        <f>'[1]IAFF (1)'!G27</f>
        <v>477261</v>
      </c>
      <c r="K81" s="114">
        <f>'[1]IAFF (1)'!H27</f>
        <v>477261</v>
      </c>
      <c r="L81" s="292">
        <f>K81/J81</f>
        <v>1</v>
      </c>
      <c r="M81" s="255">
        <f>'[1]IAFF (1)'!K27</f>
        <v>8172139</v>
      </c>
      <c r="N81" s="237">
        <f>'[1]IAFF (1)'!L27</f>
        <v>8172138.1900000004</v>
      </c>
      <c r="O81" s="293">
        <f>N81/M81</f>
        <v>0.99999990088274326</v>
      </c>
      <c r="P81" s="239">
        <f t="shared" si="12"/>
        <v>477261</v>
      </c>
      <c r="Q81" s="294">
        <f t="shared" si="12"/>
        <v>1</v>
      </c>
      <c r="R81" s="117">
        <f>N81</f>
        <v>8172138.1900000004</v>
      </c>
      <c r="S81" s="164">
        <v>0</v>
      </c>
      <c r="T81" s="165"/>
      <c r="U81" s="166"/>
      <c r="V81" s="167"/>
    </row>
    <row r="82" spans="1:22" ht="30" customHeight="1" x14ac:dyDescent="0.25">
      <c r="A82" s="242" t="s">
        <v>114</v>
      </c>
      <c r="B82" s="663"/>
      <c r="C82" s="664"/>
      <c r="D82" s="665"/>
      <c r="E82" s="160"/>
      <c r="F82" s="78"/>
      <c r="G82" s="79"/>
      <c r="H82" s="114"/>
      <c r="I82" s="115"/>
      <c r="J82" s="114"/>
      <c r="K82" s="49"/>
      <c r="L82" s="257"/>
      <c r="M82" s="258"/>
      <c r="N82" s="259"/>
      <c r="O82" s="301"/>
      <c r="P82" s="239"/>
      <c r="Q82" s="278"/>
      <c r="R82" s="117"/>
      <c r="S82" s="164"/>
      <c r="T82" s="165"/>
      <c r="U82" s="166"/>
      <c r="V82" s="167"/>
    </row>
    <row r="83" spans="1:22" ht="70.5" customHeight="1" thickBot="1" x14ac:dyDescent="0.3">
      <c r="A83" s="675" t="s">
        <v>94</v>
      </c>
      <c r="B83" s="663" t="s">
        <v>95</v>
      </c>
      <c r="C83" s="664"/>
      <c r="D83" s="665"/>
      <c r="E83" s="160" t="s">
        <v>125</v>
      </c>
      <c r="F83" s="78" t="s">
        <v>96</v>
      </c>
      <c r="G83" s="247" t="s">
        <v>96</v>
      </c>
      <c r="H83" s="235">
        <v>44197</v>
      </c>
      <c r="I83" s="235">
        <v>44561</v>
      </c>
      <c r="J83" s="239" t="s">
        <v>96</v>
      </c>
      <c r="K83" s="248" t="s">
        <v>138</v>
      </c>
      <c r="L83" s="257" t="s">
        <v>96</v>
      </c>
      <c r="M83" s="302">
        <f>'[1]IAFF (1)'!K28</f>
        <v>12517326</v>
      </c>
      <c r="N83" s="303">
        <f>'[1]IAFF (1)'!L28</f>
        <v>2970264.76</v>
      </c>
      <c r="O83" s="304">
        <f>N83/M83</f>
        <v>0.23729227472385075</v>
      </c>
      <c r="P83" s="305" t="s">
        <v>96</v>
      </c>
      <c r="Q83" s="306" t="s">
        <v>96</v>
      </c>
      <c r="R83" s="117">
        <f>N83</f>
        <v>2970264.76</v>
      </c>
      <c r="S83" s="164">
        <f>O83</f>
        <v>0.23729227472385075</v>
      </c>
      <c r="T83" s="165"/>
      <c r="U83" s="166"/>
      <c r="V83" s="167"/>
    </row>
    <row r="84" spans="1:22" ht="24" customHeight="1" thickBot="1" x14ac:dyDescent="0.3">
      <c r="A84" s="676"/>
      <c r="B84" s="307" t="s">
        <v>116</v>
      </c>
      <c r="C84" s="308"/>
      <c r="D84" s="309"/>
      <c r="E84" s="160" t="s">
        <v>125</v>
      </c>
      <c r="F84" s="78" t="s">
        <v>96</v>
      </c>
      <c r="G84" s="247" t="s">
        <v>96</v>
      </c>
      <c r="H84" s="235">
        <v>44197</v>
      </c>
      <c r="I84" s="235">
        <v>44561</v>
      </c>
      <c r="J84" s="239" t="s">
        <v>96</v>
      </c>
      <c r="K84" s="248" t="s">
        <v>138</v>
      </c>
      <c r="L84" s="257" t="s">
        <v>96</v>
      </c>
      <c r="M84" s="310">
        <f>'[1]IAFF (1)'!K29</f>
        <v>977300</v>
      </c>
      <c r="N84" s="311">
        <f>'[1]IAFF (1)'!L29</f>
        <v>503376.25</v>
      </c>
      <c r="O84" s="304">
        <f>N84/M84</f>
        <v>0.51506830041952323</v>
      </c>
      <c r="P84" s="305" t="s">
        <v>96</v>
      </c>
      <c r="Q84" s="306" t="s">
        <v>96</v>
      </c>
      <c r="R84" s="117">
        <f>N84</f>
        <v>503376.25</v>
      </c>
      <c r="S84" s="164">
        <f>O84</f>
        <v>0.51506830041952323</v>
      </c>
      <c r="T84" s="312"/>
      <c r="U84" s="313"/>
      <c r="V84" s="314"/>
    </row>
    <row r="85" spans="1:22" ht="29.25" thickBot="1" x14ac:dyDescent="0.5">
      <c r="A85" s="264"/>
      <c r="B85" s="678"/>
      <c r="C85" s="679"/>
      <c r="D85" s="680"/>
      <c r="E85" s="92"/>
      <c r="F85" s="80"/>
      <c r="G85" s="79"/>
      <c r="H85" s="120"/>
      <c r="I85" s="121"/>
      <c r="J85" s="75"/>
      <c r="K85" s="71"/>
      <c r="L85" s="266"/>
      <c r="M85" s="315"/>
      <c r="N85" s="316"/>
      <c r="O85" s="317"/>
      <c r="P85" s="318"/>
      <c r="Q85" s="319"/>
      <c r="R85" s="123"/>
      <c r="S85" s="270"/>
      <c r="T85" s="130"/>
      <c r="U85" s="131"/>
      <c r="V85" s="132"/>
    </row>
    <row r="86" spans="1:22" ht="21.75" thickBot="1" x14ac:dyDescent="0.4">
      <c r="A86" s="271"/>
      <c r="B86" s="272"/>
      <c r="C86" s="272"/>
      <c r="D86" s="272"/>
      <c r="E86" s="272"/>
      <c r="F86" s="272"/>
      <c r="G86" s="274">
        <f>SUM(G72:G83)</f>
        <v>0</v>
      </c>
      <c r="H86" s="272"/>
      <c r="I86" s="272"/>
      <c r="J86" s="272">
        <f>SUM(J72:J85)</f>
        <v>483305</v>
      </c>
      <c r="K86" s="272">
        <f>SUM(K72:K85)</f>
        <v>480634</v>
      </c>
      <c r="L86" s="273">
        <f>K86/J86</f>
        <v>0.99447346913439749</v>
      </c>
      <c r="M86" s="274">
        <f>SUM(M72:M85)</f>
        <v>184925304</v>
      </c>
      <c r="N86" s="274">
        <f>SUM(N72:N85)</f>
        <v>91007045.420000002</v>
      </c>
      <c r="O86" s="320">
        <f>N86/M86</f>
        <v>0.49212867818240819</v>
      </c>
      <c r="P86" s="283">
        <f>SUM(P72:P83)</f>
        <v>480634</v>
      </c>
      <c r="Q86" s="273">
        <f>P86/J86</f>
        <v>0.99447346913439749</v>
      </c>
      <c r="R86" s="285">
        <f>SUM(R72:R85)</f>
        <v>91007045.420000002</v>
      </c>
      <c r="S86" s="273">
        <f>R86/M86</f>
        <v>0.49212867818240819</v>
      </c>
      <c r="T86" s="276"/>
      <c r="U86" s="276"/>
      <c r="V86" s="277"/>
    </row>
    <row r="87" spans="1:22" ht="21" x14ac:dyDescent="0.35">
      <c r="A87" s="321"/>
      <c r="B87" s="133"/>
      <c r="C87" s="133"/>
      <c r="D87" s="133"/>
      <c r="E87" s="133"/>
      <c r="F87" s="133"/>
      <c r="G87" s="133"/>
      <c r="H87" s="133"/>
      <c r="I87" s="133"/>
      <c r="J87" s="133"/>
      <c r="K87" s="133"/>
      <c r="L87" s="322"/>
      <c r="M87" s="133"/>
      <c r="N87" s="133"/>
      <c r="O87" s="133"/>
      <c r="P87" s="133"/>
      <c r="Q87" s="133"/>
      <c r="R87" s="133"/>
      <c r="S87" s="322"/>
      <c r="T87" s="133"/>
      <c r="U87" s="133"/>
      <c r="V87" s="133"/>
    </row>
    <row r="88" spans="1:22" ht="34.5" thickBot="1" x14ac:dyDescent="0.55000000000000004">
      <c r="A88" s="157" t="s">
        <v>39</v>
      </c>
      <c r="B88" s="585">
        <v>2022</v>
      </c>
      <c r="C88" s="586"/>
      <c r="D88" s="586"/>
      <c r="E88" s="586"/>
      <c r="F88" s="586"/>
      <c r="G88" s="586"/>
      <c r="H88" s="586"/>
      <c r="I88" s="586"/>
      <c r="J88" s="586"/>
      <c r="K88" s="586"/>
      <c r="L88" s="586"/>
      <c r="M88" s="586"/>
      <c r="N88" s="586"/>
      <c r="O88" s="586"/>
      <c r="P88" s="586"/>
      <c r="Q88" s="586"/>
      <c r="R88" s="586"/>
      <c r="S88" s="586"/>
      <c r="T88" s="587"/>
      <c r="U88" s="588"/>
      <c r="V88" s="22"/>
    </row>
    <row r="89" spans="1:22" ht="34.5" thickBot="1" x14ac:dyDescent="0.3">
      <c r="A89" s="589" t="s">
        <v>42</v>
      </c>
      <c r="B89" s="592" t="s">
        <v>43</v>
      </c>
      <c r="C89" s="593"/>
      <c r="D89" s="594"/>
      <c r="E89" s="594" t="s">
        <v>44</v>
      </c>
      <c r="F89" s="601" t="s">
        <v>64</v>
      </c>
      <c r="G89" s="602"/>
      <c r="H89" s="603" t="s">
        <v>80</v>
      </c>
      <c r="I89" s="604"/>
      <c r="J89" s="603" t="s">
        <v>81</v>
      </c>
      <c r="K89" s="605"/>
      <c r="L89" s="604"/>
      <c r="M89" s="606" t="s">
        <v>82</v>
      </c>
      <c r="N89" s="607"/>
      <c r="O89" s="608"/>
      <c r="P89" s="609" t="s">
        <v>83</v>
      </c>
      <c r="Q89" s="610"/>
      <c r="R89" s="611" t="s">
        <v>84</v>
      </c>
      <c r="S89" s="612"/>
      <c r="T89" s="613" t="s">
        <v>85</v>
      </c>
      <c r="U89" s="614"/>
      <c r="V89" s="615"/>
    </row>
    <row r="90" spans="1:22" x14ac:dyDescent="0.25">
      <c r="A90" s="590"/>
      <c r="B90" s="595"/>
      <c r="C90" s="596"/>
      <c r="D90" s="597"/>
      <c r="E90" s="597"/>
      <c r="F90" s="622" t="s">
        <v>49</v>
      </c>
      <c r="G90" s="644" t="s">
        <v>48</v>
      </c>
      <c r="H90" s="646" t="s">
        <v>75</v>
      </c>
      <c r="I90" s="648" t="s">
        <v>76</v>
      </c>
      <c r="J90" s="650" t="s">
        <v>50</v>
      </c>
      <c r="K90" s="633" t="s">
        <v>38</v>
      </c>
      <c r="L90" s="652" t="s">
        <v>37</v>
      </c>
      <c r="M90" s="633" t="s">
        <v>50</v>
      </c>
      <c r="N90" s="633" t="s">
        <v>38</v>
      </c>
      <c r="O90" s="636" t="s">
        <v>37</v>
      </c>
      <c r="P90" s="638" t="s">
        <v>77</v>
      </c>
      <c r="Q90" s="640" t="s">
        <v>78</v>
      </c>
      <c r="R90" s="642" t="s">
        <v>79</v>
      </c>
      <c r="S90" s="624" t="s">
        <v>78</v>
      </c>
      <c r="T90" s="616"/>
      <c r="U90" s="617"/>
      <c r="V90" s="618"/>
    </row>
    <row r="91" spans="1:22" ht="45.75" customHeight="1" thickBot="1" x14ac:dyDescent="0.3">
      <c r="A91" s="591"/>
      <c r="B91" s="598"/>
      <c r="C91" s="599"/>
      <c r="D91" s="600"/>
      <c r="E91" s="600"/>
      <c r="F91" s="623"/>
      <c r="G91" s="645"/>
      <c r="H91" s="647"/>
      <c r="I91" s="649"/>
      <c r="J91" s="651"/>
      <c r="K91" s="635"/>
      <c r="L91" s="653"/>
      <c r="M91" s="634"/>
      <c r="N91" s="635"/>
      <c r="O91" s="637"/>
      <c r="P91" s="639"/>
      <c r="Q91" s="641"/>
      <c r="R91" s="643"/>
      <c r="S91" s="625"/>
      <c r="T91" s="619"/>
      <c r="U91" s="620"/>
      <c r="V91" s="621"/>
    </row>
    <row r="92" spans="1:22" ht="28.5" x14ac:dyDescent="0.25">
      <c r="A92" s="340" t="s">
        <v>103</v>
      </c>
      <c r="B92" s="682"/>
      <c r="C92" s="683"/>
      <c r="D92" s="684"/>
      <c r="E92" s="341"/>
      <c r="F92" s="342"/>
      <c r="G92" s="65"/>
      <c r="H92" s="65"/>
      <c r="I92" s="334"/>
      <c r="J92" s="337"/>
      <c r="K92" s="335"/>
      <c r="L92" s="286"/>
      <c r="M92" s="287"/>
      <c r="N92" s="288"/>
      <c r="O92" s="289"/>
      <c r="P92" s="290"/>
      <c r="Q92" s="291"/>
      <c r="R92" s="350"/>
      <c r="S92" s="352"/>
      <c r="T92" s="230"/>
      <c r="U92" s="231"/>
      <c r="V92" s="232"/>
    </row>
    <row r="93" spans="1:22" ht="51" customHeight="1" x14ac:dyDescent="0.25">
      <c r="A93" s="675" t="s">
        <v>92</v>
      </c>
      <c r="B93" s="685" t="s">
        <v>98</v>
      </c>
      <c r="C93" s="685"/>
      <c r="D93" s="686"/>
      <c r="E93" s="360" t="s">
        <v>140</v>
      </c>
      <c r="F93" s="78">
        <v>2012</v>
      </c>
      <c r="G93" s="234">
        <v>148537115</v>
      </c>
      <c r="H93" s="235">
        <v>44562</v>
      </c>
      <c r="I93" s="280">
        <v>44926</v>
      </c>
      <c r="J93" s="372">
        <v>2011</v>
      </c>
      <c r="K93" s="295">
        <v>2011</v>
      </c>
      <c r="L93" s="292">
        <v>0.99950298210735589</v>
      </c>
      <c r="M93" s="234">
        <v>148537115</v>
      </c>
      <c r="N93" s="237">
        <v>145411499.23999998</v>
      </c>
      <c r="O93" s="293">
        <v>0.97895734167181025</v>
      </c>
      <c r="P93" s="239">
        <v>2011</v>
      </c>
      <c r="Q93" s="294">
        <v>0.99950298210735589</v>
      </c>
      <c r="R93" s="117">
        <v>145411499.23999998</v>
      </c>
      <c r="S93" s="164">
        <v>0.97895734167181025</v>
      </c>
      <c r="T93" s="165"/>
      <c r="U93" s="166"/>
      <c r="V93" s="167"/>
    </row>
    <row r="94" spans="1:22" ht="36" customHeight="1" x14ac:dyDescent="0.25">
      <c r="A94" s="677"/>
      <c r="B94" s="687" t="s">
        <v>168</v>
      </c>
      <c r="C94" s="687"/>
      <c r="D94" s="688"/>
      <c r="E94" s="78" t="s">
        <v>97</v>
      </c>
      <c r="F94" s="78">
        <v>465</v>
      </c>
      <c r="G94" s="234">
        <v>76944509</v>
      </c>
      <c r="H94" s="235">
        <v>44562</v>
      </c>
      <c r="I94" s="280">
        <v>44926</v>
      </c>
      <c r="J94" s="372">
        <v>465</v>
      </c>
      <c r="K94" s="295">
        <v>210</v>
      </c>
      <c r="L94" s="292">
        <v>0.43440860215053761</v>
      </c>
      <c r="M94" s="234">
        <v>76944509</v>
      </c>
      <c r="N94" s="237">
        <v>58162272.850000001</v>
      </c>
      <c r="O94" s="293">
        <v>0.75589894075482378</v>
      </c>
      <c r="P94" s="239">
        <v>202</v>
      </c>
      <c r="Q94" s="294">
        <v>0.43440860215053761</v>
      </c>
      <c r="R94" s="117">
        <v>58162272.850000001</v>
      </c>
      <c r="S94" s="164">
        <v>0.75589894075482378</v>
      </c>
      <c r="T94" s="165"/>
      <c r="U94" s="166"/>
      <c r="V94" s="167"/>
    </row>
    <row r="95" spans="1:22" ht="36" customHeight="1" x14ac:dyDescent="0.25">
      <c r="A95" s="677"/>
      <c r="B95" s="688" t="s">
        <v>142</v>
      </c>
      <c r="C95" s="689"/>
      <c r="D95" s="689"/>
      <c r="E95" s="78" t="s">
        <v>93</v>
      </c>
      <c r="F95" s="78">
        <v>0</v>
      </c>
      <c r="G95" s="234">
        <v>0</v>
      </c>
      <c r="H95" s="235">
        <v>44562</v>
      </c>
      <c r="I95" s="280">
        <v>44926</v>
      </c>
      <c r="J95" s="372">
        <v>0</v>
      </c>
      <c r="K95" s="295">
        <v>0</v>
      </c>
      <c r="L95" s="292">
        <v>0</v>
      </c>
      <c r="M95" s="234">
        <v>0</v>
      </c>
      <c r="N95" s="237">
        <v>0</v>
      </c>
      <c r="O95" s="293">
        <v>0</v>
      </c>
      <c r="P95" s="239">
        <v>0</v>
      </c>
      <c r="Q95" s="294">
        <v>0</v>
      </c>
      <c r="R95" s="117">
        <v>0</v>
      </c>
      <c r="S95" s="164">
        <v>0</v>
      </c>
      <c r="T95" s="165"/>
      <c r="U95" s="166"/>
      <c r="V95" s="167"/>
    </row>
    <row r="96" spans="1:22" ht="36" customHeight="1" x14ac:dyDescent="0.25">
      <c r="A96" s="677"/>
      <c r="B96" s="686" t="s">
        <v>146</v>
      </c>
      <c r="C96" s="691"/>
      <c r="D96" s="691"/>
      <c r="E96" s="78" t="s">
        <v>93</v>
      </c>
      <c r="F96" s="78">
        <v>0</v>
      </c>
      <c r="G96" s="234">
        <v>0</v>
      </c>
      <c r="H96" s="235"/>
      <c r="I96" s="280"/>
      <c r="J96" s="372">
        <v>0</v>
      </c>
      <c r="K96" s="295"/>
      <c r="L96" s="292"/>
      <c r="M96" s="234">
        <v>0</v>
      </c>
      <c r="N96" s="237">
        <v>0</v>
      </c>
      <c r="O96" s="293"/>
      <c r="P96" s="239"/>
      <c r="Q96" s="294"/>
      <c r="R96" s="117"/>
      <c r="S96" s="164">
        <v>0</v>
      </c>
      <c r="T96" s="165"/>
      <c r="U96" s="166"/>
      <c r="V96" s="167"/>
    </row>
    <row r="97" spans="1:22" ht="36" hidden="1" customHeight="1" x14ac:dyDescent="0.25">
      <c r="A97" s="355"/>
      <c r="B97" s="690"/>
      <c r="C97" s="546"/>
      <c r="D97" s="546"/>
      <c r="E97" s="347"/>
      <c r="F97" s="339"/>
      <c r="G97" s="346"/>
      <c r="H97" s="235"/>
      <c r="I97" s="280"/>
      <c r="J97" s="373"/>
      <c r="K97" s="295"/>
      <c r="L97" s="292"/>
      <c r="M97" s="346"/>
      <c r="N97" s="150"/>
      <c r="O97" s="278"/>
      <c r="P97" s="239"/>
      <c r="Q97" s="294"/>
      <c r="R97" s="349"/>
      <c r="S97" s="351"/>
      <c r="T97" s="356"/>
      <c r="U97" s="357"/>
      <c r="V97" s="358"/>
    </row>
    <row r="98" spans="1:22" ht="36" hidden="1" customHeight="1" x14ac:dyDescent="0.25">
      <c r="A98" s="359"/>
      <c r="B98" s="690"/>
      <c r="C98" s="546"/>
      <c r="D98" s="546"/>
      <c r="E98" s="347"/>
      <c r="F98" s="339"/>
      <c r="G98" s="346"/>
      <c r="H98" s="235"/>
      <c r="I98" s="280"/>
      <c r="J98" s="373"/>
      <c r="K98" s="336"/>
      <c r="L98" s="292"/>
      <c r="M98" s="346"/>
      <c r="N98" s="150"/>
      <c r="O98" s="278"/>
      <c r="P98" s="239"/>
      <c r="Q98" s="294"/>
      <c r="R98" s="349"/>
      <c r="S98" s="351"/>
      <c r="T98" s="356"/>
      <c r="U98" s="357"/>
      <c r="V98" s="358"/>
    </row>
    <row r="99" spans="1:22" ht="23.25" x14ac:dyDescent="0.25">
      <c r="A99" s="343" t="s">
        <v>110</v>
      </c>
      <c r="B99" s="344"/>
      <c r="C99" s="345"/>
      <c r="D99" s="345"/>
      <c r="E99" s="347"/>
      <c r="F99" s="339"/>
      <c r="G99" s="346"/>
      <c r="H99" s="235"/>
      <c r="I99" s="280"/>
      <c r="J99" s="373"/>
      <c r="K99" s="295"/>
      <c r="L99" s="292"/>
      <c r="M99" s="346"/>
      <c r="N99" s="150"/>
      <c r="O99" s="354"/>
      <c r="P99" s="239"/>
      <c r="Q99" s="294"/>
      <c r="R99" s="349"/>
      <c r="S99" s="351"/>
      <c r="T99" s="165"/>
      <c r="U99" s="166"/>
      <c r="V99" s="167"/>
    </row>
    <row r="100" spans="1:22" ht="21" customHeight="1" x14ac:dyDescent="0.25">
      <c r="A100" s="675" t="s">
        <v>100</v>
      </c>
      <c r="B100" s="688" t="s">
        <v>99</v>
      </c>
      <c r="C100" s="689"/>
      <c r="D100" s="708"/>
      <c r="E100" s="338" t="s">
        <v>101</v>
      </c>
      <c r="F100" s="338">
        <v>1896</v>
      </c>
      <c r="G100" s="247">
        <v>129045185</v>
      </c>
      <c r="H100" s="235">
        <v>44562</v>
      </c>
      <c r="I100" s="280">
        <v>44926</v>
      </c>
      <c r="J100" s="372">
        <v>1896</v>
      </c>
      <c r="K100" s="295">
        <v>1896</v>
      </c>
      <c r="L100" s="292">
        <v>1</v>
      </c>
      <c r="M100" s="247">
        <v>129045185</v>
      </c>
      <c r="N100" s="237">
        <v>128805425</v>
      </c>
      <c r="O100" s="293">
        <v>0.99814204613678537</v>
      </c>
      <c r="P100" s="239">
        <v>1896</v>
      </c>
      <c r="Q100" s="294">
        <v>1</v>
      </c>
      <c r="R100" s="117">
        <v>128805425</v>
      </c>
      <c r="S100" s="164">
        <v>0.99814204613678537</v>
      </c>
      <c r="T100" s="165"/>
      <c r="U100" s="166"/>
      <c r="V100" s="167"/>
    </row>
    <row r="101" spans="1:22" ht="21" customHeight="1" x14ac:dyDescent="0.25">
      <c r="A101" s="677"/>
      <c r="B101" s="363" t="s">
        <v>176</v>
      </c>
      <c r="C101" s="364"/>
      <c r="D101" s="365"/>
      <c r="E101" s="338"/>
      <c r="F101" s="338"/>
      <c r="G101" s="247">
        <v>2687487</v>
      </c>
      <c r="H101" s="235">
        <v>44562</v>
      </c>
      <c r="I101" s="280">
        <v>44926</v>
      </c>
      <c r="J101" s="372"/>
      <c r="K101" s="295"/>
      <c r="L101" s="292"/>
      <c r="M101" s="247">
        <v>2687487</v>
      </c>
      <c r="N101" s="237">
        <v>0</v>
      </c>
      <c r="O101" s="293">
        <v>0</v>
      </c>
      <c r="P101" s="239"/>
      <c r="Q101" s="294"/>
      <c r="R101" s="117"/>
      <c r="S101" s="164"/>
      <c r="T101" s="165"/>
      <c r="U101" s="166"/>
      <c r="V101" s="167"/>
    </row>
    <row r="102" spans="1:22" ht="21" customHeight="1" x14ac:dyDescent="0.25">
      <c r="A102" s="677"/>
      <c r="B102" s="363" t="s">
        <v>145</v>
      </c>
      <c r="C102" s="364"/>
      <c r="D102" s="365"/>
      <c r="E102" s="338" t="s">
        <v>96</v>
      </c>
      <c r="F102" s="338">
        <v>1</v>
      </c>
      <c r="G102" s="247">
        <v>315000</v>
      </c>
      <c r="H102" s="235"/>
      <c r="I102" s="280"/>
      <c r="J102" s="372">
        <v>1</v>
      </c>
      <c r="K102" s="295">
        <v>1</v>
      </c>
      <c r="L102" s="292"/>
      <c r="M102" s="247">
        <v>315000</v>
      </c>
      <c r="N102" s="237">
        <v>315000</v>
      </c>
      <c r="O102" s="293">
        <v>1</v>
      </c>
      <c r="P102" s="239">
        <v>1</v>
      </c>
      <c r="Q102" s="294"/>
      <c r="R102" s="117">
        <v>315000</v>
      </c>
      <c r="S102" s="164">
        <v>1</v>
      </c>
      <c r="T102" s="165"/>
      <c r="U102" s="166"/>
      <c r="V102" s="167"/>
    </row>
    <row r="103" spans="1:22" ht="45" customHeight="1" x14ac:dyDescent="0.25">
      <c r="A103" s="676"/>
      <c r="B103" s="709" t="s">
        <v>139</v>
      </c>
      <c r="C103" s="664"/>
      <c r="D103" s="710"/>
      <c r="E103" s="338" t="s">
        <v>120</v>
      </c>
      <c r="F103" s="338">
        <v>2682</v>
      </c>
      <c r="G103" s="234">
        <v>18926520</v>
      </c>
      <c r="H103" s="235">
        <v>44562</v>
      </c>
      <c r="I103" s="280">
        <v>44926</v>
      </c>
      <c r="J103" s="372">
        <v>2682</v>
      </c>
      <c r="K103" s="295">
        <v>2345</v>
      </c>
      <c r="L103" s="292">
        <v>0.87434750186428034</v>
      </c>
      <c r="M103" s="234">
        <v>18926520</v>
      </c>
      <c r="N103" s="237">
        <v>18075640</v>
      </c>
      <c r="O103" s="293">
        <v>0.95504297673317651</v>
      </c>
      <c r="P103" s="239">
        <v>2345</v>
      </c>
      <c r="Q103" s="294">
        <v>0.87434750186428034</v>
      </c>
      <c r="R103" s="117">
        <v>18075640</v>
      </c>
      <c r="S103" s="164">
        <v>0.95504297673317651</v>
      </c>
      <c r="T103" s="165"/>
      <c r="U103" s="166"/>
      <c r="V103" s="167"/>
    </row>
    <row r="104" spans="1:22" ht="23.25" x14ac:dyDescent="0.25">
      <c r="A104" s="343" t="s">
        <v>114</v>
      </c>
      <c r="B104" s="681"/>
      <c r="C104" s="542"/>
      <c r="D104" s="542"/>
      <c r="E104" s="347"/>
      <c r="F104" s="347"/>
      <c r="G104" s="114"/>
      <c r="H104" s="235"/>
      <c r="I104" s="235"/>
      <c r="J104" s="374"/>
      <c r="K104" s="49"/>
      <c r="L104" s="257"/>
      <c r="M104" s="114"/>
      <c r="N104" s="348"/>
      <c r="O104" s="353"/>
      <c r="P104" s="239"/>
      <c r="Q104" s="278"/>
      <c r="R104" s="349"/>
      <c r="S104" s="351"/>
      <c r="T104" s="165"/>
      <c r="U104" s="166"/>
      <c r="V104" s="167"/>
    </row>
    <row r="105" spans="1:22" ht="56.25" customHeight="1" thickBot="1" x14ac:dyDescent="0.3">
      <c r="A105" s="375" t="s">
        <v>94</v>
      </c>
      <c r="B105" s="663" t="s">
        <v>95</v>
      </c>
      <c r="C105" s="664"/>
      <c r="D105" s="664"/>
      <c r="E105" s="78" t="s">
        <v>96</v>
      </c>
      <c r="F105" s="78" t="s">
        <v>96</v>
      </c>
      <c r="G105" s="247">
        <v>5370326</v>
      </c>
      <c r="H105" s="235">
        <v>44562</v>
      </c>
      <c r="I105" s="235">
        <v>44926</v>
      </c>
      <c r="J105" s="171" t="s">
        <v>96</v>
      </c>
      <c r="K105" s="248" t="s">
        <v>138</v>
      </c>
      <c r="L105" s="257" t="s">
        <v>96</v>
      </c>
      <c r="M105" s="247">
        <v>5370326</v>
      </c>
      <c r="N105" s="303">
        <v>4256831.2600000007</v>
      </c>
      <c r="O105" s="304">
        <v>0.79265788706309459</v>
      </c>
      <c r="P105" s="305" t="s">
        <v>96</v>
      </c>
      <c r="Q105" s="306" t="s">
        <v>96</v>
      </c>
      <c r="R105" s="117">
        <v>4256831.2600000007</v>
      </c>
      <c r="S105" s="164">
        <v>0.79265788706309459</v>
      </c>
      <c r="T105" s="165"/>
      <c r="U105" s="166"/>
      <c r="V105" s="167"/>
    </row>
    <row r="106" spans="1:22" ht="56.25" customHeight="1" thickBot="1" x14ac:dyDescent="0.3">
      <c r="A106" s="381"/>
      <c r="B106" s="630" t="s">
        <v>175</v>
      </c>
      <c r="C106" s="631"/>
      <c r="D106" s="631"/>
      <c r="E106" s="78" t="s">
        <v>96</v>
      </c>
      <c r="F106" s="78">
        <v>1</v>
      </c>
      <c r="G106" s="247">
        <v>640000</v>
      </c>
      <c r="H106" s="235"/>
      <c r="I106" s="235"/>
      <c r="J106" s="171">
        <v>1</v>
      </c>
      <c r="K106" s="248"/>
      <c r="L106" s="257"/>
      <c r="M106" s="247">
        <v>640000</v>
      </c>
      <c r="N106" s="303">
        <v>0</v>
      </c>
      <c r="O106" s="304"/>
      <c r="P106" s="305"/>
      <c r="Q106" s="306"/>
      <c r="R106" s="117"/>
      <c r="S106" s="164"/>
      <c r="T106" s="165"/>
      <c r="U106" s="166"/>
      <c r="V106" s="167"/>
    </row>
    <row r="107" spans="1:22" ht="21.75" thickBot="1" x14ac:dyDescent="0.4">
      <c r="A107" s="271"/>
      <c r="B107" s="272"/>
      <c r="C107" s="272"/>
      <c r="D107" s="272"/>
      <c r="E107" s="272"/>
      <c r="F107" s="140">
        <v>7057</v>
      </c>
      <c r="G107" s="274">
        <v>382466142</v>
      </c>
      <c r="H107" s="272"/>
      <c r="I107" s="272"/>
      <c r="J107" s="382">
        <v>7057</v>
      </c>
      <c r="K107" s="140">
        <v>6455</v>
      </c>
      <c r="L107" s="389">
        <v>0.91469462944594015</v>
      </c>
      <c r="M107" s="274">
        <v>382466142</v>
      </c>
      <c r="N107" s="274">
        <v>355026668.34999996</v>
      </c>
      <c r="O107" s="320">
        <v>0.92825646341787804</v>
      </c>
      <c r="P107" s="283">
        <v>6455</v>
      </c>
      <c r="Q107" s="273">
        <v>0.91469462944594015</v>
      </c>
      <c r="R107" s="285">
        <v>355026668.34999996</v>
      </c>
      <c r="S107" s="273">
        <v>0.92825646341787804</v>
      </c>
      <c r="T107" s="276"/>
      <c r="U107" s="276"/>
      <c r="V107" s="277"/>
    </row>
    <row r="108" spans="1:22" ht="21" x14ac:dyDescent="0.35">
      <c r="A108" s="321"/>
      <c r="B108" s="133"/>
      <c r="C108" s="133"/>
      <c r="D108" s="133"/>
      <c r="E108" s="133"/>
      <c r="F108" s="133"/>
      <c r="G108" s="133"/>
      <c r="H108" s="133"/>
      <c r="I108" s="133"/>
      <c r="J108" s="133"/>
      <c r="K108" s="133"/>
      <c r="L108" s="322"/>
      <c r="M108" s="133"/>
      <c r="N108" s="133"/>
      <c r="O108" s="133"/>
      <c r="P108" s="133"/>
      <c r="Q108" s="133"/>
      <c r="R108" s="133"/>
      <c r="S108" s="322"/>
      <c r="T108" s="133"/>
      <c r="U108" s="133"/>
      <c r="V108" s="133"/>
    </row>
    <row r="109" spans="1:22" ht="34.5" thickBot="1" x14ac:dyDescent="0.55000000000000004">
      <c r="A109" s="157" t="s">
        <v>39</v>
      </c>
      <c r="B109" s="585">
        <v>2023</v>
      </c>
      <c r="C109" s="586"/>
      <c r="D109" s="586"/>
      <c r="E109" s="586"/>
      <c r="F109" s="586"/>
      <c r="G109" s="586"/>
      <c r="H109" s="586"/>
      <c r="I109" s="586"/>
      <c r="J109" s="586"/>
      <c r="K109" s="586"/>
      <c r="L109" s="586"/>
      <c r="M109" s="586"/>
      <c r="N109" s="586"/>
      <c r="O109" s="586"/>
      <c r="P109" s="586"/>
      <c r="Q109" s="586"/>
      <c r="R109" s="586"/>
      <c r="S109" s="586"/>
      <c r="T109" s="587"/>
      <c r="U109" s="588"/>
      <c r="V109" s="22"/>
    </row>
    <row r="110" spans="1:22" ht="34.5" thickBot="1" x14ac:dyDescent="0.3">
      <c r="A110" s="589" t="s">
        <v>42</v>
      </c>
      <c r="B110" s="592" t="s">
        <v>43</v>
      </c>
      <c r="C110" s="593"/>
      <c r="D110" s="594"/>
      <c r="E110" s="594" t="s">
        <v>44</v>
      </c>
      <c r="F110" s="601" t="s">
        <v>64</v>
      </c>
      <c r="G110" s="602"/>
      <c r="H110" s="603" t="s">
        <v>80</v>
      </c>
      <c r="I110" s="604"/>
      <c r="J110" s="603" t="s">
        <v>81</v>
      </c>
      <c r="K110" s="605"/>
      <c r="L110" s="604"/>
      <c r="M110" s="606" t="s">
        <v>82</v>
      </c>
      <c r="N110" s="607"/>
      <c r="O110" s="608"/>
      <c r="P110" s="609" t="s">
        <v>83</v>
      </c>
      <c r="Q110" s="610"/>
      <c r="R110" s="611" t="s">
        <v>84</v>
      </c>
      <c r="S110" s="612"/>
      <c r="T110" s="613" t="s">
        <v>85</v>
      </c>
      <c r="U110" s="614"/>
      <c r="V110" s="615"/>
    </row>
    <row r="111" spans="1:22" ht="15" customHeight="1" x14ac:dyDescent="0.25">
      <c r="A111" s="590"/>
      <c r="B111" s="595"/>
      <c r="C111" s="596"/>
      <c r="D111" s="597"/>
      <c r="E111" s="597"/>
      <c r="F111" s="622" t="s">
        <v>49</v>
      </c>
      <c r="G111" s="644" t="s">
        <v>48</v>
      </c>
      <c r="H111" s="646" t="s">
        <v>75</v>
      </c>
      <c r="I111" s="648" t="s">
        <v>76</v>
      </c>
      <c r="J111" s="650" t="s">
        <v>50</v>
      </c>
      <c r="K111" s="633" t="s">
        <v>38</v>
      </c>
      <c r="L111" s="652" t="s">
        <v>37</v>
      </c>
      <c r="M111" s="633" t="s">
        <v>50</v>
      </c>
      <c r="N111" s="633" t="s">
        <v>38</v>
      </c>
      <c r="O111" s="636" t="s">
        <v>37</v>
      </c>
      <c r="P111" s="638" t="s">
        <v>77</v>
      </c>
      <c r="Q111" s="640" t="s">
        <v>78</v>
      </c>
      <c r="R111" s="642" t="s">
        <v>79</v>
      </c>
      <c r="S111" s="624" t="s">
        <v>78</v>
      </c>
      <c r="T111" s="616"/>
      <c r="U111" s="617"/>
      <c r="V111" s="618"/>
    </row>
    <row r="112" spans="1:22" ht="43.5" customHeight="1" thickBot="1" x14ac:dyDescent="0.3">
      <c r="A112" s="591"/>
      <c r="B112" s="598"/>
      <c r="C112" s="599"/>
      <c r="D112" s="600"/>
      <c r="E112" s="600"/>
      <c r="F112" s="623"/>
      <c r="G112" s="645"/>
      <c r="H112" s="647"/>
      <c r="I112" s="649"/>
      <c r="J112" s="651"/>
      <c r="K112" s="635"/>
      <c r="L112" s="653"/>
      <c r="M112" s="634"/>
      <c r="N112" s="635"/>
      <c r="O112" s="637"/>
      <c r="P112" s="639"/>
      <c r="Q112" s="641"/>
      <c r="R112" s="643"/>
      <c r="S112" s="625"/>
      <c r="T112" s="619"/>
      <c r="U112" s="620"/>
      <c r="V112" s="621"/>
    </row>
    <row r="113" spans="1:22" ht="28.5" x14ac:dyDescent="0.25">
      <c r="A113" s="340" t="s">
        <v>103</v>
      </c>
      <c r="B113" s="682"/>
      <c r="C113" s="683"/>
      <c r="D113" s="684"/>
      <c r="E113" s="341"/>
      <c r="F113" s="342"/>
      <c r="G113" s="65"/>
      <c r="H113" s="65"/>
      <c r="I113" s="334"/>
      <c r="J113" s="337"/>
      <c r="K113" s="335"/>
      <c r="L113" s="286"/>
      <c r="M113" s="287"/>
      <c r="N113" s="288"/>
      <c r="O113" s="289"/>
      <c r="P113" s="290"/>
      <c r="Q113" s="291"/>
      <c r="R113" s="350"/>
      <c r="S113" s="352"/>
      <c r="T113" s="230"/>
      <c r="U113" s="231"/>
      <c r="V113" s="232"/>
    </row>
    <row r="114" spans="1:22" ht="53.25" customHeight="1" x14ac:dyDescent="0.3">
      <c r="A114" s="675" t="s">
        <v>92</v>
      </c>
      <c r="B114" s="685" t="s">
        <v>98</v>
      </c>
      <c r="C114" s="685"/>
      <c r="D114" s="686"/>
      <c r="E114" s="360" t="s">
        <v>140</v>
      </c>
      <c r="F114" s="78">
        <v>3640</v>
      </c>
      <c r="G114" s="234">
        <v>257853250</v>
      </c>
      <c r="H114" s="235">
        <v>44927</v>
      </c>
      <c r="I114" s="280">
        <v>45291</v>
      </c>
      <c r="J114" s="430">
        <f>'[2]IAFF (1)'!G19</f>
        <v>3795</v>
      </c>
      <c r="K114" s="295">
        <f>'[2]IAFF (1)'!H19</f>
        <v>3795</v>
      </c>
      <c r="L114" s="292">
        <f>K114/J114</f>
        <v>1</v>
      </c>
      <c r="M114" s="404">
        <f>'[2]IAFF (1)'!K19</f>
        <v>281621872</v>
      </c>
      <c r="N114" s="237">
        <f>'[2]IAFF (1)'!L19</f>
        <v>278595769.11000001</v>
      </c>
      <c r="O114" s="293">
        <f>N114/M114</f>
        <v>0.98925473057717628</v>
      </c>
      <c r="P114" s="411">
        <f>K114</f>
        <v>3795</v>
      </c>
      <c r="Q114" s="412">
        <f>P114/J114</f>
        <v>1</v>
      </c>
      <c r="R114" s="117">
        <f>N114</f>
        <v>278595769.11000001</v>
      </c>
      <c r="S114" s="164">
        <f>R114/M114</f>
        <v>0.98925473057717628</v>
      </c>
      <c r="T114" s="165"/>
      <c r="U114" s="166"/>
      <c r="V114" s="167"/>
    </row>
    <row r="115" spans="1:22" ht="53.25" customHeight="1" x14ac:dyDescent="0.3">
      <c r="A115" s="677"/>
      <c r="B115" s="685" t="s">
        <v>186</v>
      </c>
      <c r="C115" s="685"/>
      <c r="D115" s="686"/>
      <c r="E115" s="78" t="s">
        <v>97</v>
      </c>
      <c r="F115" s="78">
        <v>360</v>
      </c>
      <c r="G115" s="234">
        <v>50503000</v>
      </c>
      <c r="H115" s="235">
        <v>44927</v>
      </c>
      <c r="I115" s="280">
        <v>45291</v>
      </c>
      <c r="J115" s="430">
        <f>'[2]IAFF (1)'!G20</f>
        <v>453</v>
      </c>
      <c r="K115" s="295">
        <f>134+34+112</f>
        <v>280</v>
      </c>
      <c r="L115" s="292">
        <f t="shared" ref="L115:L123" si="13">K115/J115</f>
        <v>0.61810154525386318</v>
      </c>
      <c r="M115" s="404">
        <f>'[2]IAFF (1)'!K20</f>
        <v>72359470</v>
      </c>
      <c r="N115" s="237">
        <f>'[2]IAFF (1)'!L20</f>
        <v>72039139.650000006</v>
      </c>
      <c r="O115" s="293">
        <f>N115/M115</f>
        <v>0.99557306942684909</v>
      </c>
      <c r="P115" s="411">
        <f>K115</f>
        <v>280</v>
      </c>
      <c r="Q115" s="412">
        <f>P115/J115</f>
        <v>0.61810154525386318</v>
      </c>
      <c r="R115" s="117">
        <f>N115</f>
        <v>72039139.650000006</v>
      </c>
      <c r="S115" s="164">
        <f>R115/M115</f>
        <v>0.99557306942684909</v>
      </c>
      <c r="T115" s="165"/>
      <c r="U115" s="166"/>
      <c r="V115" s="167"/>
    </row>
    <row r="116" spans="1:22" ht="53.25" customHeight="1" x14ac:dyDescent="0.3">
      <c r="A116" s="677"/>
      <c r="B116" s="630" t="s">
        <v>187</v>
      </c>
      <c r="C116" s="631"/>
      <c r="D116" s="632"/>
      <c r="E116" s="78" t="s">
        <v>188</v>
      </c>
      <c r="F116" s="78">
        <v>1</v>
      </c>
      <c r="G116" s="234">
        <v>30000000</v>
      </c>
      <c r="H116" s="235">
        <v>44927</v>
      </c>
      <c r="I116" s="280">
        <v>45291</v>
      </c>
      <c r="J116" s="430">
        <f>'[2]IAFF (1)'!G22</f>
        <v>107140</v>
      </c>
      <c r="K116" s="439">
        <f>'[2]IAFF (1)'!H22</f>
        <v>107140</v>
      </c>
      <c r="L116" s="292">
        <f t="shared" si="13"/>
        <v>1</v>
      </c>
      <c r="M116" s="404">
        <f>'[2]IAFF (1)'!K22</f>
        <v>30975349</v>
      </c>
      <c r="N116" s="237">
        <f>'[2]IAFF (1)'!L22</f>
        <v>29901259</v>
      </c>
      <c r="O116" s="293">
        <f>N116/M116</f>
        <v>0.96532436163996083</v>
      </c>
      <c r="P116" s="411">
        <f>K116</f>
        <v>107140</v>
      </c>
      <c r="Q116" s="412">
        <f>P116/J116</f>
        <v>1</v>
      </c>
      <c r="R116" s="117">
        <f>N116</f>
        <v>29901259</v>
      </c>
      <c r="S116" s="164">
        <f>R116/M116</f>
        <v>0.96532436163996083</v>
      </c>
      <c r="T116" s="165"/>
      <c r="U116" s="166"/>
      <c r="V116" s="167"/>
    </row>
    <row r="117" spans="1:22" ht="53.25" customHeight="1" x14ac:dyDescent="0.3">
      <c r="A117" s="677"/>
      <c r="B117" s="688" t="s">
        <v>142</v>
      </c>
      <c r="C117" s="689"/>
      <c r="D117" s="689"/>
      <c r="E117" s="78" t="s">
        <v>93</v>
      </c>
      <c r="F117" s="78">
        <v>1</v>
      </c>
      <c r="G117" s="234">
        <v>26439995</v>
      </c>
      <c r="H117" s="235">
        <v>44927</v>
      </c>
      <c r="I117" s="280">
        <v>45291</v>
      </c>
      <c r="J117" s="430">
        <v>1</v>
      </c>
      <c r="K117" s="295">
        <f>'[2]IAFF (1)'!H23</f>
        <v>0</v>
      </c>
      <c r="L117" s="292">
        <f t="shared" si="13"/>
        <v>0</v>
      </c>
      <c r="M117" s="404">
        <f>'[2]IAFF (1)'!K23</f>
        <v>229200</v>
      </c>
      <c r="N117" s="237">
        <f>'[2]IAFF (1)'!L23</f>
        <v>0</v>
      </c>
      <c r="O117" s="293">
        <f>N117/M117</f>
        <v>0</v>
      </c>
      <c r="P117" s="411">
        <f>K117</f>
        <v>0</v>
      </c>
      <c r="Q117" s="412">
        <f>P117/J117</f>
        <v>0</v>
      </c>
      <c r="R117" s="117">
        <f>N117</f>
        <v>0</v>
      </c>
      <c r="S117" s="164">
        <f>R117/M117</f>
        <v>0</v>
      </c>
      <c r="T117" s="165"/>
      <c r="U117" s="166"/>
      <c r="V117" s="167"/>
    </row>
    <row r="118" spans="1:22" ht="53.25" customHeight="1" x14ac:dyDescent="0.3">
      <c r="A118" s="677"/>
      <c r="B118" s="686" t="s">
        <v>146</v>
      </c>
      <c r="C118" s="691"/>
      <c r="D118" s="691"/>
      <c r="E118" s="78" t="s">
        <v>93</v>
      </c>
      <c r="F118" s="78">
        <v>319</v>
      </c>
      <c r="G118" s="234">
        <v>10919370</v>
      </c>
      <c r="H118" s="235">
        <v>44927</v>
      </c>
      <c r="I118" s="280">
        <v>45291</v>
      </c>
      <c r="J118" s="430">
        <f>'[2]IAFF (1)'!G24</f>
        <v>319</v>
      </c>
      <c r="K118" s="295">
        <f>'[2]IAFF (1)'!H24</f>
        <v>272</v>
      </c>
      <c r="L118" s="292">
        <f t="shared" si="13"/>
        <v>0.85266457680250785</v>
      </c>
      <c r="M118" s="404">
        <f>'[2]IAFF (1)'!K24</f>
        <v>19048370</v>
      </c>
      <c r="N118" s="237">
        <f>'[2]IAFF (1)'!L24</f>
        <v>18696268.849999998</v>
      </c>
      <c r="O118" s="293">
        <f>N118/M118</f>
        <v>0.9815154183796303</v>
      </c>
      <c r="P118" s="411">
        <f>K118</f>
        <v>272</v>
      </c>
      <c r="Q118" s="412">
        <f>P118/J118</f>
        <v>0.85266457680250785</v>
      </c>
      <c r="R118" s="117">
        <f>N118</f>
        <v>18696268.849999998</v>
      </c>
      <c r="S118" s="164">
        <f>R118/M118</f>
        <v>0.9815154183796303</v>
      </c>
      <c r="T118" s="165"/>
      <c r="U118" s="166"/>
      <c r="V118" s="167"/>
    </row>
    <row r="119" spans="1:22" ht="37.5" customHeight="1" x14ac:dyDescent="0.3">
      <c r="A119" s="343" t="s">
        <v>110</v>
      </c>
      <c r="B119" s="344"/>
      <c r="C119" s="345"/>
      <c r="D119" s="345"/>
      <c r="E119" s="347"/>
      <c r="F119" s="339"/>
      <c r="G119" s="346"/>
      <c r="H119" s="235"/>
      <c r="I119" s="280"/>
      <c r="J119" s="248"/>
      <c r="K119" s="295"/>
      <c r="L119" s="292"/>
      <c r="M119" s="405"/>
      <c r="N119" s="150"/>
      <c r="O119" s="354"/>
      <c r="P119" s="411"/>
      <c r="Q119" s="412"/>
      <c r="R119" s="349"/>
      <c r="S119" s="351"/>
      <c r="T119" s="165"/>
      <c r="U119" s="166"/>
      <c r="V119" s="167"/>
    </row>
    <row r="120" spans="1:22" ht="21" customHeight="1" x14ac:dyDescent="0.3">
      <c r="A120" s="675" t="s">
        <v>100</v>
      </c>
      <c r="B120" s="688" t="s">
        <v>136</v>
      </c>
      <c r="C120" s="689"/>
      <c r="D120" s="689"/>
      <c r="E120" s="78"/>
      <c r="F120" s="78"/>
      <c r="G120" s="247"/>
      <c r="H120" s="235"/>
      <c r="I120" s="280"/>
      <c r="J120" s="430">
        <f>'[2]IAFF (1)'!G26</f>
        <v>1500</v>
      </c>
      <c r="K120" s="439">
        <f>'[2]IAFF (1)'!H26</f>
        <v>385</v>
      </c>
      <c r="L120" s="292">
        <f t="shared" si="13"/>
        <v>0.25666666666666665</v>
      </c>
      <c r="M120" s="406">
        <f>'[2]IAFF (1)'!K26</f>
        <v>15246590</v>
      </c>
      <c r="N120" s="237">
        <f>'[2]IAFF (1)'!L26</f>
        <v>7563025</v>
      </c>
      <c r="O120" s="293">
        <f>N120/M120</f>
        <v>0.49604698493236848</v>
      </c>
      <c r="P120" s="411">
        <f>K120</f>
        <v>385</v>
      </c>
      <c r="Q120" s="412">
        <f>P120/J120</f>
        <v>0.25666666666666665</v>
      </c>
      <c r="R120" s="117">
        <f>+N120</f>
        <v>7563025</v>
      </c>
      <c r="S120" s="164">
        <f>+O120</f>
        <v>0.49604698493236848</v>
      </c>
      <c r="T120" s="165"/>
      <c r="U120" s="166"/>
      <c r="V120" s="167"/>
    </row>
    <row r="121" spans="1:22" ht="52.5" customHeight="1" x14ac:dyDescent="0.3">
      <c r="A121" s="677"/>
      <c r="B121" s="363" t="s">
        <v>176</v>
      </c>
      <c r="C121" s="364"/>
      <c r="D121" s="364"/>
      <c r="E121" s="78"/>
      <c r="F121" s="78">
        <v>1</v>
      </c>
      <c r="G121" s="247">
        <v>30000000</v>
      </c>
      <c r="H121" s="235">
        <v>44927</v>
      </c>
      <c r="I121" s="280">
        <v>45291</v>
      </c>
      <c r="J121" s="430">
        <f>'[2]IAFF (1)'!G27</f>
        <v>2179805</v>
      </c>
      <c r="K121" s="295">
        <f>'[2]IAFF (1)'!H27</f>
        <v>2179805</v>
      </c>
      <c r="L121" s="292">
        <f t="shared" si="13"/>
        <v>1</v>
      </c>
      <c r="M121" s="406">
        <f>'[2]IAFF (1)'!K27</f>
        <v>17674666</v>
      </c>
      <c r="N121" s="237">
        <f>'[2]IAFF (1)'!L27</f>
        <v>17674480.93</v>
      </c>
      <c r="O121" s="293">
        <f>N121/M121</f>
        <v>0.99998952908077587</v>
      </c>
      <c r="P121" s="411">
        <f>K121</f>
        <v>2179805</v>
      </c>
      <c r="Q121" s="412">
        <f>P121/J121</f>
        <v>1</v>
      </c>
      <c r="R121" s="117">
        <f>N121</f>
        <v>17674480.93</v>
      </c>
      <c r="S121" s="164">
        <f>R121/M121</f>
        <v>0.99998952908077587</v>
      </c>
      <c r="T121" s="165"/>
      <c r="U121" s="166"/>
      <c r="V121" s="167"/>
    </row>
    <row r="122" spans="1:22" ht="21" customHeight="1" x14ac:dyDescent="0.3">
      <c r="A122" s="677"/>
      <c r="B122" s="363" t="s">
        <v>145</v>
      </c>
      <c r="C122" s="364"/>
      <c r="D122" s="364"/>
      <c r="E122" s="78" t="s">
        <v>96</v>
      </c>
      <c r="F122" s="78" t="s">
        <v>96</v>
      </c>
      <c r="G122" s="247">
        <v>0</v>
      </c>
      <c r="H122" s="235"/>
      <c r="I122" s="280"/>
      <c r="J122" s="171" t="str">
        <f>'[2]IAFF (1)'!E28</f>
        <v>N/A</v>
      </c>
      <c r="K122" s="248">
        <f>'[2]IAFF (1)'!H29</f>
        <v>1171</v>
      </c>
      <c r="L122" s="292">
        <v>0</v>
      </c>
      <c r="M122" s="406">
        <f>'[2]IAFF (1)'!K28</f>
        <v>680000</v>
      </c>
      <c r="N122" s="237">
        <f>'[2]IAFF (1)'!L28</f>
        <v>340000</v>
      </c>
      <c r="O122" s="293">
        <f>N122/M122</f>
        <v>0.5</v>
      </c>
      <c r="P122" s="411">
        <f>K122</f>
        <v>1171</v>
      </c>
      <c r="Q122" s="412">
        <v>0</v>
      </c>
      <c r="R122" s="117">
        <f>N122</f>
        <v>340000</v>
      </c>
      <c r="S122" s="164">
        <f>R122/M122</f>
        <v>0.5</v>
      </c>
      <c r="T122" s="165"/>
      <c r="U122" s="166"/>
      <c r="V122" s="167"/>
    </row>
    <row r="123" spans="1:22" ht="36" customHeight="1" x14ac:dyDescent="0.3">
      <c r="A123" s="676"/>
      <c r="B123" s="709" t="s">
        <v>139</v>
      </c>
      <c r="C123" s="664"/>
      <c r="D123" s="664"/>
      <c r="E123" s="78" t="s">
        <v>120</v>
      </c>
      <c r="F123" s="78">
        <v>1</v>
      </c>
      <c r="G123" s="234">
        <v>2288000</v>
      </c>
      <c r="H123" s="235">
        <v>44927</v>
      </c>
      <c r="I123" s="280">
        <v>45291</v>
      </c>
      <c r="J123" s="430">
        <f>'[2]IAFF (1)'!G29</f>
        <v>1307</v>
      </c>
      <c r="K123" s="295">
        <f>'[2]IAFF (1)'!H29</f>
        <v>1171</v>
      </c>
      <c r="L123" s="292">
        <f t="shared" si="13"/>
        <v>0.8959449120122418</v>
      </c>
      <c r="M123" s="404">
        <f>'[2]IAFF (1)'!K29</f>
        <v>2288000</v>
      </c>
      <c r="N123" s="237">
        <f>'[2]IAFF (1)'!L29</f>
        <v>2111120</v>
      </c>
      <c r="O123" s="293">
        <f>N123/M123</f>
        <v>0.9226923076923077</v>
      </c>
      <c r="P123" s="411">
        <f>K123</f>
        <v>1171</v>
      </c>
      <c r="Q123" s="412">
        <f>P123/J123</f>
        <v>0.8959449120122418</v>
      </c>
      <c r="R123" s="117">
        <f>N123</f>
        <v>2111120</v>
      </c>
      <c r="S123" s="164">
        <f>R123/M123</f>
        <v>0.9226923076923077</v>
      </c>
      <c r="T123" s="165"/>
      <c r="U123" s="166"/>
      <c r="V123" s="167"/>
    </row>
    <row r="124" spans="1:22" ht="23.25" x14ac:dyDescent="0.3">
      <c r="A124" s="343" t="s">
        <v>114</v>
      </c>
      <c r="B124" s="681"/>
      <c r="C124" s="542"/>
      <c r="D124" s="542"/>
      <c r="E124" s="347"/>
      <c r="F124" s="347"/>
      <c r="G124" s="114"/>
      <c r="H124" s="235"/>
      <c r="I124" s="280"/>
      <c r="J124" s="239"/>
      <c r="K124" s="49"/>
      <c r="L124" s="292"/>
      <c r="M124" s="407"/>
      <c r="N124" s="150"/>
      <c r="O124" s="353"/>
      <c r="P124" s="411"/>
      <c r="Q124" s="413"/>
      <c r="R124" s="349"/>
      <c r="S124" s="351"/>
      <c r="T124" s="165"/>
      <c r="U124" s="166"/>
      <c r="V124" s="167"/>
    </row>
    <row r="125" spans="1:22" ht="70.5" thickBot="1" x14ac:dyDescent="0.3">
      <c r="A125" s="375" t="s">
        <v>94</v>
      </c>
      <c r="B125" s="663" t="s">
        <v>95</v>
      </c>
      <c r="C125" s="664"/>
      <c r="D125" s="664"/>
      <c r="E125" s="78" t="s">
        <v>96</v>
      </c>
      <c r="F125" s="78" t="s">
        <v>96</v>
      </c>
      <c r="G125" s="247">
        <v>5902347</v>
      </c>
      <c r="H125" s="235">
        <v>44927</v>
      </c>
      <c r="I125" s="280">
        <v>45291</v>
      </c>
      <c r="J125" s="171" t="str">
        <f>'[2]IAFF (1)'!E31</f>
        <v>N/A</v>
      </c>
      <c r="K125" s="248">
        <f>'[2]IAFF (1)'!H32</f>
        <v>0</v>
      </c>
      <c r="L125" s="292">
        <v>0</v>
      </c>
      <c r="M125" s="406">
        <f>'[2]IAFF (1)'!K31</f>
        <v>2543131</v>
      </c>
      <c r="N125" s="303">
        <f>'[2]IAFF (1)'!L31</f>
        <v>2194822.6</v>
      </c>
      <c r="O125" s="293">
        <f>N125/M125</f>
        <v>0.86303953669708722</v>
      </c>
      <c r="P125" s="239">
        <f>K125</f>
        <v>0</v>
      </c>
      <c r="Q125" s="294">
        <v>0</v>
      </c>
      <c r="R125" s="117">
        <f>N125</f>
        <v>2194822.6</v>
      </c>
      <c r="S125" s="164">
        <f>R125/M125</f>
        <v>0.86303953669708722</v>
      </c>
      <c r="T125" s="165"/>
      <c r="U125" s="166"/>
      <c r="V125" s="167"/>
    </row>
    <row r="126" spans="1:22" ht="23.25" x14ac:dyDescent="0.3">
      <c r="A126" s="381"/>
      <c r="B126" s="630" t="s">
        <v>185</v>
      </c>
      <c r="C126" s="631"/>
      <c r="D126" s="631"/>
      <c r="E126" s="78" t="s">
        <v>96</v>
      </c>
      <c r="F126" s="78" t="s">
        <v>96</v>
      </c>
      <c r="G126" s="247">
        <v>111119038</v>
      </c>
      <c r="H126" s="235"/>
      <c r="I126" s="235"/>
      <c r="J126" s="171" t="s">
        <v>96</v>
      </c>
      <c r="K126" s="248">
        <f>'[2]IAFF (1)'!H32</f>
        <v>0</v>
      </c>
      <c r="L126" s="292">
        <v>0</v>
      </c>
      <c r="M126" s="406">
        <f>'[2]IAFF (1)'!K32</f>
        <v>0</v>
      </c>
      <c r="N126" s="303">
        <f>'[2]IAFF (1)'!L32</f>
        <v>0</v>
      </c>
      <c r="O126" s="293"/>
      <c r="P126" s="411">
        <f>K126</f>
        <v>0</v>
      </c>
      <c r="Q126" s="412" t="s">
        <v>96</v>
      </c>
      <c r="R126" s="117">
        <f>N126</f>
        <v>0</v>
      </c>
      <c r="S126" s="164"/>
      <c r="T126" s="165"/>
      <c r="U126" s="166"/>
      <c r="V126" s="167"/>
    </row>
    <row r="127" spans="1:22" ht="21.75" thickBot="1" x14ac:dyDescent="0.4">
      <c r="A127" s="271"/>
      <c r="B127" s="272"/>
      <c r="C127" s="272"/>
      <c r="D127" s="272"/>
      <c r="E127" s="272"/>
      <c r="F127" s="140">
        <f>SUM(F114:F126)</f>
        <v>4323</v>
      </c>
      <c r="G127" s="274">
        <f>SUM(G114:G126)</f>
        <v>525025000</v>
      </c>
      <c r="H127" s="272"/>
      <c r="I127" s="272"/>
      <c r="J127" s="414">
        <f>SUM(J114:J126)</f>
        <v>2294320</v>
      </c>
      <c r="K127" s="140">
        <f>SUM(K114:K126)</f>
        <v>2294019</v>
      </c>
      <c r="L127" s="389">
        <f>K127/J127</f>
        <v>0.99986880644373932</v>
      </c>
      <c r="M127" s="408">
        <f>SUM(M114:M126)</f>
        <v>442666648</v>
      </c>
      <c r="N127" s="408">
        <f>SUM(N114:N126)</f>
        <v>429115885.14000005</v>
      </c>
      <c r="O127" s="320">
        <f>N127/M127</f>
        <v>0.96938833562179738</v>
      </c>
      <c r="P127" s="414">
        <f>SUM(P114:P126)</f>
        <v>2294019</v>
      </c>
      <c r="Q127" s="415">
        <f>P127/J127</f>
        <v>0.99986880644373932</v>
      </c>
      <c r="R127" s="285">
        <f>SUM(R114:R126)</f>
        <v>429115885.14000005</v>
      </c>
      <c r="S127" s="440">
        <f>R127/M127</f>
        <v>0.96938833562179738</v>
      </c>
      <c r="T127" s="276"/>
      <c r="U127" s="276"/>
      <c r="V127" s="277"/>
    </row>
    <row r="128" spans="1:22" ht="21" x14ac:dyDescent="0.35">
      <c r="A128" s="321"/>
      <c r="B128" s="431"/>
      <c r="C128" s="431"/>
      <c r="D128" s="431"/>
      <c r="E128" s="431"/>
      <c r="F128" s="133"/>
      <c r="G128" s="432"/>
      <c r="H128" s="431"/>
      <c r="I128" s="431"/>
      <c r="J128" s="433"/>
      <c r="K128" s="133"/>
      <c r="L128" s="322"/>
      <c r="M128" s="434"/>
      <c r="N128" s="434"/>
      <c r="O128" s="435"/>
      <c r="P128" s="433"/>
      <c r="Q128" s="436"/>
      <c r="R128" s="437"/>
      <c r="S128" s="438"/>
      <c r="T128" s="431"/>
      <c r="U128" s="431"/>
      <c r="V128" s="431"/>
    </row>
    <row r="129" spans="1:22" ht="34.5" thickBot="1" x14ac:dyDescent="0.55000000000000004">
      <c r="A129" s="157" t="s">
        <v>39</v>
      </c>
      <c r="B129" s="585">
        <v>2024</v>
      </c>
      <c r="C129" s="586"/>
      <c r="D129" s="586"/>
      <c r="E129" s="586"/>
      <c r="F129" s="586"/>
      <c r="G129" s="586"/>
      <c r="H129" s="586"/>
      <c r="I129" s="586"/>
      <c r="J129" s="586"/>
      <c r="K129" s="586"/>
      <c r="L129" s="586"/>
      <c r="M129" s="586"/>
      <c r="N129" s="586"/>
      <c r="O129" s="586"/>
      <c r="P129" s="586"/>
      <c r="Q129" s="586"/>
      <c r="R129" s="586"/>
      <c r="S129" s="586"/>
      <c r="T129" s="587"/>
      <c r="U129" s="588"/>
      <c r="V129" s="22"/>
    </row>
    <row r="130" spans="1:22" ht="34.5" thickBot="1" x14ac:dyDescent="0.3">
      <c r="A130" s="589" t="s">
        <v>42</v>
      </c>
      <c r="B130" s="592" t="s">
        <v>43</v>
      </c>
      <c r="C130" s="593"/>
      <c r="D130" s="594"/>
      <c r="E130" s="594" t="s">
        <v>44</v>
      </c>
      <c r="F130" s="601" t="s">
        <v>64</v>
      </c>
      <c r="G130" s="602"/>
      <c r="H130" s="603" t="s">
        <v>80</v>
      </c>
      <c r="I130" s="604"/>
      <c r="J130" s="603" t="s">
        <v>81</v>
      </c>
      <c r="K130" s="605"/>
      <c r="L130" s="604"/>
      <c r="M130" s="606" t="s">
        <v>82</v>
      </c>
      <c r="N130" s="607"/>
      <c r="O130" s="608"/>
      <c r="P130" s="609" t="s">
        <v>83</v>
      </c>
      <c r="Q130" s="610"/>
      <c r="R130" s="611" t="s">
        <v>84</v>
      </c>
      <c r="S130" s="612"/>
      <c r="T130" s="613" t="s">
        <v>85</v>
      </c>
      <c r="U130" s="614"/>
      <c r="V130" s="615"/>
    </row>
    <row r="131" spans="1:22" x14ac:dyDescent="0.25">
      <c r="A131" s="590"/>
      <c r="B131" s="595"/>
      <c r="C131" s="596"/>
      <c r="D131" s="597"/>
      <c r="E131" s="597"/>
      <c r="F131" s="622" t="s">
        <v>49</v>
      </c>
      <c r="G131" s="644" t="s">
        <v>48</v>
      </c>
      <c r="H131" s="646" t="s">
        <v>75</v>
      </c>
      <c r="I131" s="648" t="s">
        <v>76</v>
      </c>
      <c r="J131" s="650" t="s">
        <v>50</v>
      </c>
      <c r="K131" s="633" t="s">
        <v>38</v>
      </c>
      <c r="L131" s="652" t="s">
        <v>37</v>
      </c>
      <c r="M131" s="633" t="s">
        <v>50</v>
      </c>
      <c r="N131" s="633" t="s">
        <v>38</v>
      </c>
      <c r="O131" s="636" t="s">
        <v>37</v>
      </c>
      <c r="P131" s="638" t="s">
        <v>77</v>
      </c>
      <c r="Q131" s="640" t="s">
        <v>78</v>
      </c>
      <c r="R131" s="642" t="s">
        <v>79</v>
      </c>
      <c r="S131" s="624" t="s">
        <v>78</v>
      </c>
      <c r="T131" s="616"/>
      <c r="U131" s="617"/>
      <c r="V131" s="618"/>
    </row>
    <row r="132" spans="1:22" ht="36.75" customHeight="1" thickBot="1" x14ac:dyDescent="0.3">
      <c r="A132" s="591"/>
      <c r="B132" s="598"/>
      <c r="C132" s="599"/>
      <c r="D132" s="600"/>
      <c r="E132" s="600"/>
      <c r="F132" s="623"/>
      <c r="G132" s="645"/>
      <c r="H132" s="647"/>
      <c r="I132" s="649"/>
      <c r="J132" s="651"/>
      <c r="K132" s="635"/>
      <c r="L132" s="653"/>
      <c r="M132" s="634"/>
      <c r="N132" s="635"/>
      <c r="O132" s="637"/>
      <c r="P132" s="639"/>
      <c r="Q132" s="641"/>
      <c r="R132" s="643"/>
      <c r="S132" s="625"/>
      <c r="T132" s="619"/>
      <c r="U132" s="620"/>
      <c r="V132" s="621"/>
    </row>
    <row r="133" spans="1:22" ht="28.5" x14ac:dyDescent="0.25">
      <c r="A133" s="340" t="s">
        <v>103</v>
      </c>
      <c r="B133" s="682"/>
      <c r="C133" s="683"/>
      <c r="D133" s="684"/>
      <c r="E133" s="341"/>
      <c r="F133" s="342"/>
      <c r="G133" s="65"/>
      <c r="H133" s="65"/>
      <c r="I133" s="334"/>
      <c r="J133" s="337"/>
      <c r="K133" s="335"/>
      <c r="L133" s="286"/>
      <c r="M133" s="287"/>
      <c r="N133" s="288"/>
      <c r="O133" s="289"/>
      <c r="P133" s="290"/>
      <c r="Q133" s="291"/>
      <c r="R133" s="350"/>
      <c r="S133" s="352"/>
      <c r="T133" s="230"/>
      <c r="U133" s="231"/>
      <c r="V133" s="232"/>
    </row>
    <row r="134" spans="1:22" ht="43.5" customHeight="1" x14ac:dyDescent="0.3">
      <c r="A134" s="675" t="s">
        <v>92</v>
      </c>
      <c r="B134" s="685" t="s">
        <v>98</v>
      </c>
      <c r="C134" s="685"/>
      <c r="D134" s="686"/>
      <c r="E134" s="360" t="s">
        <v>140</v>
      </c>
      <c r="F134" s="186">
        <f>'IAFF (1)'!G19</f>
        <v>737</v>
      </c>
      <c r="G134" s="234">
        <v>257853250</v>
      </c>
      <c r="H134" s="235">
        <v>45292</v>
      </c>
      <c r="I134" s="280">
        <v>45657</v>
      </c>
      <c r="J134" s="430">
        <v>737</v>
      </c>
      <c r="K134" s="439">
        <f>'IAFF (1)'!H19</f>
        <v>574</v>
      </c>
      <c r="L134" s="292">
        <f>K134/J134</f>
        <v>0.77883310719131615</v>
      </c>
      <c r="M134" s="449">
        <f>+'IAFF (1)'!K19</f>
        <v>47635145</v>
      </c>
      <c r="N134" s="237">
        <f>Hoja1!D8</f>
        <v>45340419.189999998</v>
      </c>
      <c r="O134" s="293">
        <f>N134/M134</f>
        <v>0.95182704261737838</v>
      </c>
      <c r="P134" s="411">
        <f>K134+125</f>
        <v>699</v>
      </c>
      <c r="Q134" s="412">
        <f>P134/J134</f>
        <v>0.94843962008141114</v>
      </c>
      <c r="R134" s="117">
        <f>N134</f>
        <v>45340419.189999998</v>
      </c>
      <c r="S134" s="164">
        <f>R134/M134</f>
        <v>0.95182704261737838</v>
      </c>
      <c r="T134" s="165"/>
      <c r="U134" s="166"/>
      <c r="V134" s="167"/>
    </row>
    <row r="135" spans="1:22" ht="45.75" customHeight="1" x14ac:dyDescent="0.3">
      <c r="A135" s="677"/>
      <c r="B135" s="685" t="s">
        <v>186</v>
      </c>
      <c r="C135" s="685"/>
      <c r="D135" s="686"/>
      <c r="E135" s="78" t="s">
        <v>97</v>
      </c>
      <c r="F135" s="186">
        <f>'IAFF (1)'!G20</f>
        <v>0</v>
      </c>
      <c r="G135" s="234">
        <v>50503000</v>
      </c>
      <c r="H135" s="235">
        <v>45292</v>
      </c>
      <c r="I135" s="280">
        <v>45657</v>
      </c>
      <c r="J135" s="430">
        <f t="shared" ref="J135:J137" si="14">F135</f>
        <v>0</v>
      </c>
      <c r="K135" s="439">
        <f>'IAFF (1)'!H20</f>
        <v>0</v>
      </c>
      <c r="L135" s="292">
        <v>0</v>
      </c>
      <c r="M135" s="449">
        <f>+'IAFF (1)'!K20</f>
        <v>0</v>
      </c>
      <c r="N135" s="237">
        <f>Hoja1!D11</f>
        <v>0</v>
      </c>
      <c r="O135" s="293">
        <v>0</v>
      </c>
      <c r="P135" s="411">
        <f>K135</f>
        <v>0</v>
      </c>
      <c r="Q135" s="412">
        <v>0</v>
      </c>
      <c r="R135" s="117">
        <f>N135</f>
        <v>0</v>
      </c>
      <c r="S135" s="164">
        <v>0</v>
      </c>
      <c r="T135" s="165"/>
      <c r="U135" s="166"/>
      <c r="V135" s="167"/>
    </row>
    <row r="136" spans="1:22" ht="51" customHeight="1" x14ac:dyDescent="0.3">
      <c r="A136" s="677"/>
      <c r="B136" s="630" t="s">
        <v>187</v>
      </c>
      <c r="C136" s="631"/>
      <c r="D136" s="632"/>
      <c r="E136" s="78" t="s">
        <v>188</v>
      </c>
      <c r="F136" s="186">
        <f>'IAFF (1)'!G22</f>
        <v>75000</v>
      </c>
      <c r="G136" s="234">
        <v>30000000</v>
      </c>
      <c r="H136" s="235">
        <v>45292</v>
      </c>
      <c r="I136" s="280">
        <v>45657</v>
      </c>
      <c r="J136" s="430">
        <v>75000</v>
      </c>
      <c r="K136" s="439">
        <f>'IAFF (1)'!H22</f>
        <v>75000</v>
      </c>
      <c r="L136" s="292">
        <f t="shared" ref="L136:L137" si="15">K136/J136</f>
        <v>1</v>
      </c>
      <c r="M136" s="449">
        <f>+'IAFF (1)'!K22</f>
        <v>20951590</v>
      </c>
      <c r="N136" s="237">
        <f>Hoja1!D14</f>
        <v>20951590</v>
      </c>
      <c r="O136" s="293">
        <f>N136/M136</f>
        <v>1</v>
      </c>
      <c r="P136" s="445">
        <v>2600</v>
      </c>
      <c r="Q136" s="446">
        <f>P136/J136</f>
        <v>3.4666666666666665E-2</v>
      </c>
      <c r="R136" s="117">
        <f>N136</f>
        <v>20951590</v>
      </c>
      <c r="S136" s="164">
        <f>R136/M136</f>
        <v>1</v>
      </c>
      <c r="T136" s="165"/>
      <c r="U136" s="166"/>
      <c r="V136" s="167"/>
    </row>
    <row r="137" spans="1:22" ht="52.5" customHeight="1" x14ac:dyDescent="0.3">
      <c r="A137" s="677"/>
      <c r="B137" s="688" t="s">
        <v>142</v>
      </c>
      <c r="C137" s="689"/>
      <c r="D137" s="689"/>
      <c r="E137" s="78" t="s">
        <v>93</v>
      </c>
      <c r="F137" s="186">
        <f>'IAFF (1)'!F23</f>
        <v>1</v>
      </c>
      <c r="G137" s="234">
        <v>26439995</v>
      </c>
      <c r="H137" s="235">
        <v>45292</v>
      </c>
      <c r="I137" s="280">
        <v>45657</v>
      </c>
      <c r="J137" s="430">
        <f t="shared" si="14"/>
        <v>1</v>
      </c>
      <c r="K137" s="439">
        <f>'IAFF (1)'!H23</f>
        <v>1</v>
      </c>
      <c r="L137" s="292">
        <f t="shared" si="15"/>
        <v>1</v>
      </c>
      <c r="M137" s="449">
        <f>+'IAFF (1)'!K23</f>
        <v>373546.93</v>
      </c>
      <c r="N137" s="237">
        <f>+'IAFF (1)'!L23</f>
        <v>958656.72</v>
      </c>
      <c r="O137" s="293">
        <f>N137/M137</f>
        <v>2.566362197114028</v>
      </c>
      <c r="P137" s="411">
        <f>K137</f>
        <v>1</v>
      </c>
      <c r="Q137" s="412">
        <f>P137/J137</f>
        <v>1</v>
      </c>
      <c r="R137" s="117">
        <f>N137</f>
        <v>958656.72</v>
      </c>
      <c r="S137" s="164">
        <f>R137/M137</f>
        <v>2.566362197114028</v>
      </c>
      <c r="T137" s="165"/>
      <c r="U137" s="166"/>
      <c r="V137" s="167"/>
    </row>
    <row r="138" spans="1:22" ht="43.5" customHeight="1" x14ac:dyDescent="0.3">
      <c r="A138" s="677"/>
      <c r="B138" s="686" t="s">
        <v>146</v>
      </c>
      <c r="C138" s="691"/>
      <c r="D138" s="691"/>
      <c r="E138" s="78" t="s">
        <v>93</v>
      </c>
      <c r="F138" s="186">
        <f>'IAFF (1)'!F24</f>
        <v>319</v>
      </c>
      <c r="G138" s="234">
        <v>10919370</v>
      </c>
      <c r="H138" s="235">
        <v>45292</v>
      </c>
      <c r="I138" s="280">
        <v>45657</v>
      </c>
      <c r="J138" s="430">
        <v>0</v>
      </c>
      <c r="K138" s="439">
        <f>'IAFF (1)'!H24</f>
        <v>0</v>
      </c>
      <c r="L138" s="292">
        <v>0</v>
      </c>
      <c r="M138" s="449">
        <f>+'IAFF (1)'!K24</f>
        <v>0</v>
      </c>
      <c r="N138" s="237">
        <v>0</v>
      </c>
      <c r="O138" s="293">
        <v>0</v>
      </c>
      <c r="P138" s="411">
        <f>K138</f>
        <v>0</v>
      </c>
      <c r="Q138" s="412">
        <v>0</v>
      </c>
      <c r="R138" s="117">
        <f>N138</f>
        <v>0</v>
      </c>
      <c r="S138" s="164">
        <v>0</v>
      </c>
      <c r="T138" s="165"/>
      <c r="U138" s="166"/>
      <c r="V138" s="167"/>
    </row>
    <row r="139" spans="1:22" ht="23.25" x14ac:dyDescent="0.3">
      <c r="A139" s="343" t="s">
        <v>110</v>
      </c>
      <c r="B139" s="344"/>
      <c r="C139" s="345"/>
      <c r="D139" s="345"/>
      <c r="E139" s="347"/>
      <c r="F139" s="339"/>
      <c r="G139" s="346"/>
      <c r="H139" s="235"/>
      <c r="I139" s="280"/>
      <c r="J139" s="248"/>
      <c r="K139" s="295"/>
      <c r="L139" s="292"/>
      <c r="M139" s="449">
        <f t="shared" ref="M139" si="16">L139</f>
        <v>0</v>
      </c>
      <c r="N139" s="150"/>
      <c r="O139" s="354"/>
      <c r="P139" s="411"/>
      <c r="Q139" s="412"/>
      <c r="R139" s="349"/>
      <c r="S139" s="351"/>
      <c r="T139" s="165"/>
      <c r="U139" s="166"/>
      <c r="V139" s="167"/>
    </row>
    <row r="140" spans="1:22" ht="21" hidden="1" x14ac:dyDescent="0.3">
      <c r="A140" s="675" t="s">
        <v>100</v>
      </c>
      <c r="B140" s="688" t="s">
        <v>136</v>
      </c>
      <c r="C140" s="689"/>
      <c r="D140" s="689"/>
      <c r="E140" s="78"/>
      <c r="F140" s="78"/>
      <c r="G140" s="247"/>
      <c r="H140" s="235"/>
      <c r="I140" s="280"/>
      <c r="J140" s="430"/>
      <c r="K140" s="439">
        <f>'IAFF (1)'!H50</f>
        <v>0</v>
      </c>
      <c r="L140" s="292">
        <v>0</v>
      </c>
      <c r="M140" s="470">
        <v>0</v>
      </c>
      <c r="N140" s="237"/>
      <c r="O140" s="293">
        <v>0</v>
      </c>
      <c r="P140" s="411"/>
      <c r="Q140" s="412">
        <v>0</v>
      </c>
      <c r="R140" s="117"/>
      <c r="S140" s="164"/>
      <c r="T140" s="165"/>
      <c r="U140" s="166"/>
      <c r="V140" s="167"/>
    </row>
    <row r="141" spans="1:22" ht="21" hidden="1" x14ac:dyDescent="0.3">
      <c r="A141" s="677"/>
      <c r="B141" s="363" t="s">
        <v>190</v>
      </c>
      <c r="C141" s="364"/>
      <c r="D141" s="364"/>
      <c r="E141" s="78"/>
      <c r="F141" s="78"/>
      <c r="G141" s="247"/>
      <c r="H141" s="235"/>
      <c r="I141" s="280"/>
      <c r="J141" s="430"/>
      <c r="K141" s="439">
        <v>0</v>
      </c>
      <c r="L141" s="292">
        <v>0</v>
      </c>
      <c r="M141" s="470">
        <v>27340000</v>
      </c>
      <c r="N141" s="237">
        <f>Hoja1!D35</f>
        <v>0</v>
      </c>
      <c r="O141" s="293">
        <v>0</v>
      </c>
      <c r="P141" s="411"/>
      <c r="Q141" s="412">
        <v>0</v>
      </c>
      <c r="R141" s="117"/>
      <c r="S141" s="164"/>
      <c r="T141" s="165"/>
      <c r="U141" s="166"/>
      <c r="V141" s="167"/>
    </row>
    <row r="142" spans="1:22" ht="21" x14ac:dyDescent="0.3">
      <c r="A142" s="677"/>
      <c r="B142" s="363" t="s">
        <v>199</v>
      </c>
      <c r="C142" s="364"/>
      <c r="D142" s="364"/>
      <c r="E142" s="78"/>
      <c r="F142" s="186">
        <f>'IAFF (1)'!G27</f>
        <v>0</v>
      </c>
      <c r="G142" s="247">
        <v>30000000</v>
      </c>
      <c r="H142" s="235">
        <v>45292</v>
      </c>
      <c r="I142" s="280">
        <v>45657</v>
      </c>
      <c r="J142" s="430">
        <f t="shared" ref="J142:J147" si="17">F142</f>
        <v>0</v>
      </c>
      <c r="K142" s="439">
        <f>'IAFF (1)'!H27</f>
        <v>0</v>
      </c>
      <c r="L142" s="292">
        <v>0</v>
      </c>
      <c r="M142" s="237">
        <f>+'IAFF (1)'!K27</f>
        <v>0</v>
      </c>
      <c r="N142" s="237">
        <f>Hoja1!D35</f>
        <v>0</v>
      </c>
      <c r="O142" s="293">
        <v>0</v>
      </c>
      <c r="P142" s="411">
        <f>K142</f>
        <v>0</v>
      </c>
      <c r="Q142" s="412">
        <v>0</v>
      </c>
      <c r="R142" s="117">
        <f>N142</f>
        <v>0</v>
      </c>
      <c r="S142" s="164" t="e">
        <f>R142/M142</f>
        <v>#DIV/0!</v>
      </c>
      <c r="T142" s="165"/>
      <c r="U142" s="166"/>
      <c r="V142" s="167"/>
    </row>
    <row r="143" spans="1:22" ht="21" x14ac:dyDescent="0.3">
      <c r="A143" s="677"/>
      <c r="B143" s="363" t="s">
        <v>197</v>
      </c>
      <c r="C143" s="364"/>
      <c r="D143" s="364"/>
      <c r="E143" s="78" t="s">
        <v>96</v>
      </c>
      <c r="F143" s="78" t="s">
        <v>96</v>
      </c>
      <c r="G143" s="247">
        <v>0</v>
      </c>
      <c r="H143" s="235">
        <v>45292</v>
      </c>
      <c r="I143" s="280">
        <v>45657</v>
      </c>
      <c r="J143" s="171">
        <v>385</v>
      </c>
      <c r="K143" s="248">
        <v>385</v>
      </c>
      <c r="L143" s="292">
        <f>K143/J143</f>
        <v>1</v>
      </c>
      <c r="M143" s="470">
        <f>+'IAFF (1)'!K28</f>
        <v>7682675</v>
      </c>
      <c r="N143" s="237">
        <f>Hoja1!D44</f>
        <v>7682675</v>
      </c>
      <c r="O143" s="293">
        <f>+N143/M143</f>
        <v>1</v>
      </c>
      <c r="P143" s="411">
        <f>K143</f>
        <v>385</v>
      </c>
      <c r="Q143" s="444">
        <v>1</v>
      </c>
      <c r="R143" s="117">
        <f>N143</f>
        <v>7682675</v>
      </c>
      <c r="S143" s="164">
        <f>R143/M143</f>
        <v>1</v>
      </c>
      <c r="T143" s="165"/>
      <c r="U143" s="166"/>
      <c r="V143" s="167"/>
    </row>
    <row r="144" spans="1:22" ht="21" x14ac:dyDescent="0.3">
      <c r="A144" s="676"/>
      <c r="B144" s="709" t="s">
        <v>139</v>
      </c>
      <c r="C144" s="664"/>
      <c r="D144" s="664"/>
      <c r="E144" s="78" t="s">
        <v>120</v>
      </c>
      <c r="F144" s="186">
        <f>'IAFF (1)'!G29</f>
        <v>824</v>
      </c>
      <c r="G144" s="234">
        <v>2288000</v>
      </c>
      <c r="H144" s="235">
        <v>45292</v>
      </c>
      <c r="I144" s="280">
        <v>45657</v>
      </c>
      <c r="J144" s="430">
        <f t="shared" si="17"/>
        <v>824</v>
      </c>
      <c r="K144" s="439">
        <f>'IAFF (1)'!H29</f>
        <v>621</v>
      </c>
      <c r="L144" s="292">
        <f t="shared" ref="L144" si="18">K144/J144</f>
        <v>0.75364077669902918</v>
      </c>
      <c r="M144" s="237">
        <f>+'IAFF (1)'!K29</f>
        <v>2143790</v>
      </c>
      <c r="N144" s="237">
        <f>Hoja1!D62+700000</f>
        <v>1551240</v>
      </c>
      <c r="O144" s="293">
        <f>N144/M144</f>
        <v>0.72359699410856471</v>
      </c>
      <c r="P144" s="411">
        <f>K144</f>
        <v>621</v>
      </c>
      <c r="Q144" s="412">
        <f>P144/J144</f>
        <v>0.75364077669902918</v>
      </c>
      <c r="R144" s="117">
        <f>N144</f>
        <v>1551240</v>
      </c>
      <c r="S144" s="164">
        <f>R144/M144</f>
        <v>0.72359699410856471</v>
      </c>
      <c r="T144" s="165"/>
      <c r="U144" s="166"/>
      <c r="V144" s="167"/>
    </row>
    <row r="145" spans="1:22" ht="23.25" x14ac:dyDescent="0.3">
      <c r="A145" s="343" t="s">
        <v>114</v>
      </c>
      <c r="B145" s="681"/>
      <c r="C145" s="542"/>
      <c r="D145" s="542"/>
      <c r="E145" s="347"/>
      <c r="F145" s="347"/>
      <c r="G145" s="114"/>
      <c r="H145" s="235"/>
      <c r="I145" s="280"/>
      <c r="J145" s="239"/>
      <c r="K145" s="49"/>
      <c r="L145" s="292"/>
      <c r="M145" s="471"/>
      <c r="N145" s="150"/>
      <c r="O145" s="353"/>
      <c r="P145" s="411"/>
      <c r="Q145" s="413"/>
      <c r="R145" s="349"/>
      <c r="S145" s="351"/>
      <c r="T145" s="165"/>
      <c r="U145" s="166"/>
      <c r="V145" s="167"/>
    </row>
    <row r="146" spans="1:22" ht="69.75" x14ac:dyDescent="0.25">
      <c r="A146" s="375" t="s">
        <v>94</v>
      </c>
      <c r="B146" s="663" t="s">
        <v>95</v>
      </c>
      <c r="C146" s="664"/>
      <c r="D146" s="664"/>
      <c r="E146" s="78" t="s">
        <v>96</v>
      </c>
      <c r="F146" s="78" t="s">
        <v>96</v>
      </c>
      <c r="G146" s="247">
        <v>5902347</v>
      </c>
      <c r="H146" s="235">
        <v>45292</v>
      </c>
      <c r="I146" s="280">
        <v>45657</v>
      </c>
      <c r="J146" s="430" t="str">
        <f t="shared" si="17"/>
        <v>N/A</v>
      </c>
      <c r="K146" s="248">
        <f>'IAFF (1)'!H56</f>
        <v>0</v>
      </c>
      <c r="L146" s="292">
        <v>0</v>
      </c>
      <c r="M146" s="237">
        <f>+'IAFF (1)'!K31</f>
        <v>4347369.07</v>
      </c>
      <c r="N146" s="237">
        <f>+Hoja1!D84</f>
        <v>3251403.9499999997</v>
      </c>
      <c r="O146" s="293">
        <f>N146/M146</f>
        <v>0.74790152334593474</v>
      </c>
      <c r="P146" s="239">
        <f>K146</f>
        <v>0</v>
      </c>
      <c r="Q146" s="294">
        <v>0</v>
      </c>
      <c r="R146" s="117">
        <f>N146</f>
        <v>3251403.9499999997</v>
      </c>
      <c r="S146" s="164">
        <f>R146/M146</f>
        <v>0.74790152334593474</v>
      </c>
      <c r="T146" s="165"/>
      <c r="U146" s="166"/>
      <c r="V146" s="167"/>
    </row>
    <row r="147" spans="1:22" ht="24" thickBot="1" x14ac:dyDescent="0.35">
      <c r="A147" s="381"/>
      <c r="B147" s="630" t="s">
        <v>185</v>
      </c>
      <c r="C147" s="631"/>
      <c r="D147" s="631"/>
      <c r="E147" s="78" t="s">
        <v>96</v>
      </c>
      <c r="F147" s="78" t="s">
        <v>96</v>
      </c>
      <c r="G147" s="247">
        <v>111119038</v>
      </c>
      <c r="H147" s="235"/>
      <c r="I147" s="235"/>
      <c r="J147" s="430" t="str">
        <f t="shared" si="17"/>
        <v>N/A</v>
      </c>
      <c r="K147" s="248">
        <f>'IAFF (1)'!H56</f>
        <v>0</v>
      </c>
      <c r="L147" s="292">
        <v>0</v>
      </c>
      <c r="M147" s="311">
        <f>+'IAFF (1)'!K32</f>
        <v>9502598</v>
      </c>
      <c r="N147" s="311">
        <f>Hoja1!D85</f>
        <v>0</v>
      </c>
      <c r="O147" s="293">
        <f>N147/M147</f>
        <v>0</v>
      </c>
      <c r="P147" s="411">
        <f>K147</f>
        <v>0</v>
      </c>
      <c r="Q147" s="412" t="s">
        <v>96</v>
      </c>
      <c r="R147" s="117">
        <f>N147</f>
        <v>0</v>
      </c>
      <c r="S147" s="164"/>
      <c r="T147" s="165"/>
      <c r="U147" s="166"/>
      <c r="V147" s="167"/>
    </row>
    <row r="148" spans="1:22" ht="21.75" thickBot="1" x14ac:dyDescent="0.4">
      <c r="A148" s="271"/>
      <c r="B148" s="272"/>
      <c r="C148" s="272"/>
      <c r="D148" s="272"/>
      <c r="E148" s="272"/>
      <c r="F148" s="140">
        <f>SUM(F134:F147)</f>
        <v>76881</v>
      </c>
      <c r="G148" s="274">
        <f>SUM(G134:G147)</f>
        <v>525025000</v>
      </c>
      <c r="H148" s="272"/>
      <c r="I148" s="272"/>
      <c r="J148" s="414">
        <f>SUM(J134:J147)</f>
        <v>76947</v>
      </c>
      <c r="K148" s="140">
        <f>SUM(K134:K147)</f>
        <v>76581</v>
      </c>
      <c r="L148" s="389">
        <f>K148/J148</f>
        <v>0.99524347927794454</v>
      </c>
      <c r="M148" s="408">
        <f>+M134+M135+M136+M137+M138+M142+M143+M144+M146+M147</f>
        <v>92636714</v>
      </c>
      <c r="N148" s="408">
        <f>SUM(N134:N147)</f>
        <v>79735984.859999999</v>
      </c>
      <c r="O148" s="320">
        <f>N148/M148</f>
        <v>0.86073848495964567</v>
      </c>
      <c r="P148" s="414">
        <f>SUM(P134:P147)</f>
        <v>4306</v>
      </c>
      <c r="Q148" s="415">
        <f>P148/J148</f>
        <v>5.5960596254564829E-2</v>
      </c>
      <c r="R148" s="285">
        <f>SUM(R134:R147)</f>
        <v>79735984.859999999</v>
      </c>
      <c r="S148" s="440">
        <f>R148/M148</f>
        <v>0.86073848495964567</v>
      </c>
      <c r="T148" s="276"/>
      <c r="U148" s="276"/>
      <c r="V148" s="277"/>
    </row>
    <row r="149" spans="1:22" ht="21.75" thickBot="1" x14ac:dyDescent="0.4">
      <c r="A149" s="321"/>
      <c r="B149" s="431"/>
      <c r="C149" s="431"/>
      <c r="D149" s="431"/>
      <c r="E149" s="431"/>
      <c r="F149" s="133"/>
      <c r="G149" s="432"/>
      <c r="H149" s="431"/>
      <c r="I149" s="431"/>
      <c r="J149" s="433"/>
      <c r="K149" s="133"/>
      <c r="L149" s="322"/>
      <c r="M149" s="434"/>
      <c r="N149" s="434"/>
      <c r="O149" s="435"/>
      <c r="P149" s="433"/>
      <c r="Q149" s="436"/>
      <c r="R149" s="437"/>
      <c r="S149" s="438"/>
      <c r="T149" s="431"/>
      <c r="U149" s="431"/>
      <c r="V149" s="431"/>
    </row>
    <row r="150" spans="1:22" ht="36.75" thickBot="1" x14ac:dyDescent="0.6">
      <c r="A150" s="699" t="s">
        <v>65</v>
      </c>
      <c r="B150" s="700"/>
      <c r="C150" s="700"/>
      <c r="D150" s="700"/>
      <c r="E150" s="700"/>
      <c r="F150" s="700"/>
      <c r="G150" s="701"/>
      <c r="I150" s="133"/>
      <c r="J150" s="133"/>
      <c r="K150" s="133"/>
      <c r="L150" s="322"/>
      <c r="M150" s="133"/>
      <c r="N150" s="133"/>
      <c r="O150" s="133"/>
      <c r="P150" s="133"/>
      <c r="Q150" s="133"/>
      <c r="R150" s="133"/>
      <c r="S150" s="322"/>
      <c r="T150" s="133"/>
      <c r="U150" s="133"/>
      <c r="V150" s="133"/>
    </row>
    <row r="151" spans="1:22" ht="70.5" thickBot="1" x14ac:dyDescent="0.4">
      <c r="A151" s="391" t="s">
        <v>66</v>
      </c>
      <c r="B151" s="392" t="s">
        <v>67</v>
      </c>
      <c r="C151" s="392" t="s">
        <v>68</v>
      </c>
      <c r="D151" s="702" t="s">
        <v>69</v>
      </c>
      <c r="E151" s="703"/>
      <c r="F151" s="702" t="s">
        <v>70</v>
      </c>
      <c r="G151" s="703"/>
      <c r="I151" s="133"/>
      <c r="J151" s="133"/>
      <c r="K151" s="133"/>
      <c r="L151" s="322"/>
      <c r="M151" s="133"/>
      <c r="N151" s="133"/>
      <c r="O151" s="133"/>
      <c r="P151" s="133"/>
      <c r="Q151" s="133"/>
      <c r="R151" s="133"/>
      <c r="S151" s="322"/>
      <c r="T151" s="133"/>
      <c r="U151" s="133"/>
      <c r="V151" s="133"/>
    </row>
    <row r="152" spans="1:22" ht="23.25" x14ac:dyDescent="0.35">
      <c r="A152" s="393">
        <v>2018</v>
      </c>
      <c r="B152" s="394">
        <f>Q65</f>
        <v>0</v>
      </c>
      <c r="C152" s="395">
        <f>S65</f>
        <v>0</v>
      </c>
      <c r="D152" s="704">
        <v>0</v>
      </c>
      <c r="E152" s="705"/>
      <c r="F152" s="706">
        <v>0</v>
      </c>
      <c r="G152" s="707"/>
      <c r="I152" s="133"/>
      <c r="J152" s="133"/>
      <c r="K152" s="133"/>
      <c r="L152" s="322"/>
      <c r="M152" s="133"/>
      <c r="N152" s="133"/>
      <c r="O152" s="133"/>
      <c r="P152" s="133"/>
      <c r="Q152" s="133"/>
      <c r="R152" s="133"/>
      <c r="S152" s="322"/>
      <c r="T152" s="133"/>
      <c r="U152" s="133"/>
      <c r="V152" s="133"/>
    </row>
    <row r="153" spans="1:22" ht="23.25" x14ac:dyDescent="0.35">
      <c r="A153" s="396">
        <v>2019</v>
      </c>
      <c r="B153" s="397">
        <f>L47</f>
        <v>0.99860531300357158</v>
      </c>
      <c r="C153" s="397">
        <f>O48</f>
        <v>0.17835146315347628</v>
      </c>
      <c r="D153" s="692">
        <f>O84</f>
        <v>0.51506830041952323</v>
      </c>
      <c r="E153" s="693"/>
      <c r="F153" s="694">
        <f>N48</f>
        <v>41661646.019999996</v>
      </c>
      <c r="G153" s="695"/>
      <c r="I153" s="133"/>
      <c r="J153" s="133"/>
      <c r="K153" s="133"/>
      <c r="L153" s="322"/>
      <c r="M153" s="133"/>
      <c r="N153" s="133"/>
      <c r="O153" s="133"/>
      <c r="P153" s="133"/>
      <c r="Q153" s="133"/>
      <c r="R153" s="133"/>
      <c r="S153" s="322"/>
      <c r="T153" s="133"/>
      <c r="U153" s="133"/>
      <c r="V153" s="133"/>
    </row>
    <row r="154" spans="1:22" ht="23.25" x14ac:dyDescent="0.35">
      <c r="A154" s="396">
        <v>2020</v>
      </c>
      <c r="B154" s="397">
        <f>L66</f>
        <v>0.90554231227651971</v>
      </c>
      <c r="C154" s="397">
        <f>O66</f>
        <v>0.75121466566000339</v>
      </c>
      <c r="D154" s="692">
        <f>Q66</f>
        <v>0.81138259833134685</v>
      </c>
      <c r="E154" s="693"/>
      <c r="F154" s="694">
        <f>N66</f>
        <v>170163132.81</v>
      </c>
      <c r="G154" s="695"/>
      <c r="I154" s="133"/>
      <c r="J154" s="133"/>
      <c r="K154" s="133"/>
      <c r="L154" s="322"/>
      <c r="M154" s="133"/>
      <c r="N154" s="133"/>
      <c r="O154" s="133"/>
      <c r="P154" s="133"/>
      <c r="Q154" s="133"/>
      <c r="R154" s="133"/>
      <c r="S154" s="322"/>
      <c r="T154" s="133"/>
      <c r="U154" s="133"/>
      <c r="V154" s="133"/>
    </row>
    <row r="155" spans="1:22" ht="23.25" x14ac:dyDescent="0.35">
      <c r="A155" s="396">
        <v>2021</v>
      </c>
      <c r="B155" s="397">
        <f>L86</f>
        <v>0.99447346913439749</v>
      </c>
      <c r="C155" s="397">
        <f>O86</f>
        <v>0.49212867818240819</v>
      </c>
      <c r="D155" s="692">
        <f>Q86</f>
        <v>0.99447346913439749</v>
      </c>
      <c r="E155" s="693"/>
      <c r="F155" s="694">
        <f>N86</f>
        <v>91007045.420000002</v>
      </c>
      <c r="G155" s="695"/>
      <c r="I155" s="133"/>
      <c r="J155" s="133"/>
      <c r="K155" s="133"/>
      <c r="L155" s="322"/>
      <c r="M155" s="133"/>
      <c r="N155" s="133"/>
      <c r="O155" s="133"/>
      <c r="P155" s="133"/>
      <c r="Q155" s="133"/>
      <c r="R155" s="133"/>
      <c r="S155" s="322"/>
      <c r="T155" s="133"/>
      <c r="U155" s="133"/>
      <c r="V155" s="133"/>
    </row>
    <row r="156" spans="1:22" ht="23.25" x14ac:dyDescent="0.35">
      <c r="A156" s="396">
        <v>2022</v>
      </c>
      <c r="B156" s="397">
        <f>L107</f>
        <v>0.91469462944594015</v>
      </c>
      <c r="C156" s="397">
        <f>O107</f>
        <v>0.92825646341787804</v>
      </c>
      <c r="D156" s="692">
        <f>Q107</f>
        <v>0.91469462944594015</v>
      </c>
      <c r="E156" s="693"/>
      <c r="F156" s="694">
        <f>N107</f>
        <v>355026668.34999996</v>
      </c>
      <c r="G156" s="695"/>
      <c r="I156" s="133"/>
      <c r="J156" s="133"/>
      <c r="K156" s="133"/>
      <c r="L156" s="322"/>
      <c r="M156" s="133"/>
      <c r="N156" s="133"/>
      <c r="O156" s="133"/>
      <c r="P156" s="133"/>
      <c r="Q156" s="133"/>
      <c r="R156" s="133"/>
      <c r="S156" s="322"/>
      <c r="T156" s="133"/>
      <c r="U156" s="133"/>
      <c r="V156" s="133"/>
    </row>
    <row r="157" spans="1:22" ht="23.25" x14ac:dyDescent="0.35">
      <c r="A157" s="409">
        <v>2023</v>
      </c>
      <c r="B157" s="397">
        <f>L127</f>
        <v>0.99986880644373932</v>
      </c>
      <c r="C157" s="410">
        <f>O127</f>
        <v>0.96938833562179738</v>
      </c>
      <c r="D157" s="692">
        <f>Q127</f>
        <v>0.99986880644373932</v>
      </c>
      <c r="E157" s="693"/>
      <c r="F157" s="694">
        <f>N127</f>
        <v>429115885.14000005</v>
      </c>
      <c r="G157" s="695"/>
      <c r="I157" s="133"/>
      <c r="J157" s="133"/>
      <c r="K157" s="133"/>
      <c r="L157" s="322"/>
      <c r="M157" s="133"/>
      <c r="N157" s="133"/>
      <c r="O157" s="133"/>
      <c r="P157" s="133"/>
      <c r="Q157" s="133"/>
      <c r="R157" s="133"/>
      <c r="S157" s="322"/>
      <c r="T157" s="133"/>
      <c r="U157" s="133"/>
      <c r="V157" s="133"/>
    </row>
    <row r="158" spans="1:22" ht="23.25" x14ac:dyDescent="0.35">
      <c r="A158" s="409">
        <v>2024</v>
      </c>
      <c r="B158" s="397">
        <f>L148</f>
        <v>0.99524347927794454</v>
      </c>
      <c r="C158" s="410">
        <f>O148</f>
        <v>0.86073848495964567</v>
      </c>
      <c r="D158" s="692">
        <f>Q148</f>
        <v>5.5960596254564829E-2</v>
      </c>
      <c r="E158" s="693"/>
      <c r="F158" s="694">
        <f>N148</f>
        <v>79735984.859999999</v>
      </c>
      <c r="G158" s="695"/>
      <c r="I158" s="133"/>
      <c r="J158" s="133"/>
      <c r="K158" s="133"/>
      <c r="L158" s="322"/>
      <c r="M158" s="133"/>
      <c r="N158" s="133"/>
      <c r="O158" s="133"/>
      <c r="P158" s="133"/>
      <c r="Q158" s="133"/>
      <c r="R158" s="133"/>
      <c r="S158" s="322"/>
      <c r="T158" s="133"/>
      <c r="U158" s="133"/>
      <c r="V158" s="133"/>
    </row>
    <row r="159" spans="1:22" ht="23.25" x14ac:dyDescent="0.35">
      <c r="A159" s="713" t="s">
        <v>169</v>
      </c>
      <c r="B159" s="714"/>
      <c r="C159" s="714"/>
      <c r="D159" s="714"/>
      <c r="E159" s="712"/>
      <c r="F159" s="711">
        <f>SUM(F152:G158)</f>
        <v>1166710362.5999999</v>
      </c>
      <c r="G159" s="712"/>
      <c r="I159" s="133"/>
      <c r="J159" s="133"/>
      <c r="K159" s="133"/>
      <c r="L159" s="322"/>
      <c r="M159" s="133"/>
      <c r="N159" s="133"/>
      <c r="O159" s="133"/>
      <c r="P159" s="133"/>
      <c r="Q159" s="133"/>
      <c r="R159" s="133"/>
      <c r="S159" s="322"/>
      <c r="T159" s="133"/>
      <c r="U159" s="133"/>
      <c r="V159" s="133"/>
    </row>
    <row r="160" spans="1:22" ht="21" x14ac:dyDescent="0.35">
      <c r="O160" s="133"/>
      <c r="P160" s="133"/>
      <c r="Q160" s="133"/>
      <c r="R160" s="133"/>
      <c r="S160" s="322"/>
      <c r="T160" s="133"/>
      <c r="U160" s="133"/>
      <c r="V160" s="133"/>
    </row>
    <row r="161" spans="1:22" ht="153" customHeight="1" x14ac:dyDescent="0.35">
      <c r="A161" s="325"/>
      <c r="B161" s="15"/>
      <c r="C161" s="15"/>
      <c r="D161" s="15"/>
      <c r="E161" s="16"/>
      <c r="F161" s="1"/>
      <c r="G161" s="1"/>
      <c r="H161" s="1"/>
      <c r="I161" s="696" t="s">
        <v>17</v>
      </c>
      <c r="J161" s="697"/>
      <c r="K161" s="697"/>
      <c r="L161" s="697"/>
      <c r="M161" s="698"/>
      <c r="N161" s="1"/>
      <c r="O161" s="133"/>
      <c r="P161" s="133"/>
      <c r="Q161" s="133"/>
      <c r="R161" s="133"/>
      <c r="S161" s="322"/>
      <c r="T161" s="133"/>
      <c r="U161" s="133"/>
      <c r="V161" s="133"/>
    </row>
    <row r="162" spans="1:22" ht="21" x14ac:dyDescent="0.35">
      <c r="A162" s="491" t="s">
        <v>16</v>
      </c>
      <c r="B162" s="492"/>
      <c r="C162" s="492"/>
      <c r="D162" s="492"/>
      <c r="E162" s="493"/>
      <c r="F162" s="2"/>
      <c r="G162" s="11"/>
      <c r="H162" s="2"/>
      <c r="I162" s="491"/>
      <c r="J162" s="492"/>
      <c r="K162" s="492"/>
      <c r="L162" s="492"/>
      <c r="M162" s="493"/>
      <c r="N162" s="1"/>
      <c r="O162" s="133"/>
      <c r="P162" s="133"/>
      <c r="Q162" s="133"/>
      <c r="R162" s="133"/>
      <c r="S162" s="322"/>
      <c r="T162" s="133"/>
      <c r="U162" s="133"/>
      <c r="V162" s="133"/>
    </row>
    <row r="163" spans="1:22" ht="18.75" x14ac:dyDescent="0.25">
      <c r="A163" s="326"/>
    </row>
    <row r="172" spans="1:22" x14ac:dyDescent="0.25">
      <c r="J172" s="390">
        <f>SUM(J47+J66+J86+J107)</f>
        <v>3358877</v>
      </c>
      <c r="K172" s="390">
        <f>K47+K66+K86+K107</f>
        <v>3351291</v>
      </c>
      <c r="L172" s="324">
        <f>K172/J172</f>
        <v>0.99774150705726938</v>
      </c>
    </row>
  </sheetData>
  <mergeCells count="300">
    <mergeCell ref="B145:D145"/>
    <mergeCell ref="B146:D146"/>
    <mergeCell ref="B147:D147"/>
    <mergeCell ref="D158:E158"/>
    <mergeCell ref="F158:G158"/>
    <mergeCell ref="F157:G157"/>
    <mergeCell ref="D157:E157"/>
    <mergeCell ref="S131:S132"/>
    <mergeCell ref="B133:D133"/>
    <mergeCell ref="A134:A138"/>
    <mergeCell ref="B134:D134"/>
    <mergeCell ref="B135:D135"/>
    <mergeCell ref="B136:D136"/>
    <mergeCell ref="B137:D137"/>
    <mergeCell ref="B138:D138"/>
    <mergeCell ref="A140:A144"/>
    <mergeCell ref="B140:D140"/>
    <mergeCell ref="B144:D144"/>
    <mergeCell ref="B129:U129"/>
    <mergeCell ref="A130:A132"/>
    <mergeCell ref="B130:D132"/>
    <mergeCell ref="E130:E132"/>
    <mergeCell ref="F130:G130"/>
    <mergeCell ref="H130:I130"/>
    <mergeCell ref="J130:L130"/>
    <mergeCell ref="M130:O130"/>
    <mergeCell ref="P130:Q130"/>
    <mergeCell ref="R130:S130"/>
    <mergeCell ref="T130:V132"/>
    <mergeCell ref="F131:F132"/>
    <mergeCell ref="G131:G132"/>
    <mergeCell ref="H131:H132"/>
    <mergeCell ref="I131:I132"/>
    <mergeCell ref="J131:J132"/>
    <mergeCell ref="K131:K132"/>
    <mergeCell ref="L131:L132"/>
    <mergeCell ref="M131:M132"/>
    <mergeCell ref="N131:N132"/>
    <mergeCell ref="O131:O132"/>
    <mergeCell ref="P131:P132"/>
    <mergeCell ref="Q131:Q132"/>
    <mergeCell ref="R131:R132"/>
    <mergeCell ref="B124:D124"/>
    <mergeCell ref="B125:D125"/>
    <mergeCell ref="B126:D126"/>
    <mergeCell ref="B113:D113"/>
    <mergeCell ref="A114:A118"/>
    <mergeCell ref="B114:D114"/>
    <mergeCell ref="B115:D115"/>
    <mergeCell ref="B117:D117"/>
    <mergeCell ref="B118:D118"/>
    <mergeCell ref="A120:A123"/>
    <mergeCell ref="B120:D120"/>
    <mergeCell ref="B123:D123"/>
    <mergeCell ref="B116:D116"/>
    <mergeCell ref="T110:V112"/>
    <mergeCell ref="F111:F112"/>
    <mergeCell ref="G111:G112"/>
    <mergeCell ref="H111:H112"/>
    <mergeCell ref="I111:I112"/>
    <mergeCell ref="J111:J112"/>
    <mergeCell ref="K111:K112"/>
    <mergeCell ref="L111:L112"/>
    <mergeCell ref="M111:M112"/>
    <mergeCell ref="N111:N112"/>
    <mergeCell ref="O111:O112"/>
    <mergeCell ref="P111:P112"/>
    <mergeCell ref="Q111:Q112"/>
    <mergeCell ref="R111:R112"/>
    <mergeCell ref="S111:S112"/>
    <mergeCell ref="A110:A112"/>
    <mergeCell ref="B110:D112"/>
    <mergeCell ref="E110:E112"/>
    <mergeCell ref="F110:G110"/>
    <mergeCell ref="H110:I110"/>
    <mergeCell ref="J110:L110"/>
    <mergeCell ref="M110:O110"/>
    <mergeCell ref="P110:Q110"/>
    <mergeCell ref="R110:S110"/>
    <mergeCell ref="A93:A96"/>
    <mergeCell ref="D156:E156"/>
    <mergeCell ref="F156:G156"/>
    <mergeCell ref="I161:M162"/>
    <mergeCell ref="A162:E162"/>
    <mergeCell ref="B106:D106"/>
    <mergeCell ref="D153:E153"/>
    <mergeCell ref="F153:G153"/>
    <mergeCell ref="D154:E154"/>
    <mergeCell ref="F154:G154"/>
    <mergeCell ref="D155:E155"/>
    <mergeCell ref="F155:G155"/>
    <mergeCell ref="A150:G150"/>
    <mergeCell ref="D151:E151"/>
    <mergeCell ref="F151:G151"/>
    <mergeCell ref="D152:E152"/>
    <mergeCell ref="F152:G152"/>
    <mergeCell ref="B98:D98"/>
    <mergeCell ref="B100:D100"/>
    <mergeCell ref="B103:D103"/>
    <mergeCell ref="A100:A103"/>
    <mergeCell ref="F159:G159"/>
    <mergeCell ref="A159:E159"/>
    <mergeCell ref="B109:U109"/>
    <mergeCell ref="I90:I91"/>
    <mergeCell ref="J90:J91"/>
    <mergeCell ref="B104:D104"/>
    <mergeCell ref="B105:D105"/>
    <mergeCell ref="Q90:Q91"/>
    <mergeCell ref="R90:R91"/>
    <mergeCell ref="S90:S91"/>
    <mergeCell ref="B92:D92"/>
    <mergeCell ref="B93:D93"/>
    <mergeCell ref="B94:D94"/>
    <mergeCell ref="B95:D95"/>
    <mergeCell ref="B97:D97"/>
    <mergeCell ref="K90:K91"/>
    <mergeCell ref="L90:L91"/>
    <mergeCell ref="M90:M91"/>
    <mergeCell ref="N90:N91"/>
    <mergeCell ref="O90:O91"/>
    <mergeCell ref="P90:P91"/>
    <mergeCell ref="B96:D96"/>
    <mergeCell ref="O69:O70"/>
    <mergeCell ref="P69:P70"/>
    <mergeCell ref="Q69:Q70"/>
    <mergeCell ref="B88:U88"/>
    <mergeCell ref="A89:A91"/>
    <mergeCell ref="B89:D91"/>
    <mergeCell ref="E89:E91"/>
    <mergeCell ref="F89:G89"/>
    <mergeCell ref="H89:I89"/>
    <mergeCell ref="B85:D85"/>
    <mergeCell ref="A79:A81"/>
    <mergeCell ref="B79:D79"/>
    <mergeCell ref="B81:D81"/>
    <mergeCell ref="B82:D82"/>
    <mergeCell ref="A83:A84"/>
    <mergeCell ref="B83:D83"/>
    <mergeCell ref="J89:L89"/>
    <mergeCell ref="M89:O89"/>
    <mergeCell ref="P89:Q89"/>
    <mergeCell ref="R89:S89"/>
    <mergeCell ref="T89:V91"/>
    <mergeCell ref="F90:F91"/>
    <mergeCell ref="G90:G91"/>
    <mergeCell ref="H90:H91"/>
    <mergeCell ref="B71:D71"/>
    <mergeCell ref="A72:A77"/>
    <mergeCell ref="B72:D72"/>
    <mergeCell ref="B73:D73"/>
    <mergeCell ref="B74:D74"/>
    <mergeCell ref="B75:D75"/>
    <mergeCell ref="B76:D76"/>
    <mergeCell ref="B77:D77"/>
    <mergeCell ref="L69:L70"/>
    <mergeCell ref="B63:D63"/>
    <mergeCell ref="B64:D64"/>
    <mergeCell ref="B65:D65"/>
    <mergeCell ref="B67:U67"/>
    <mergeCell ref="A68:A70"/>
    <mergeCell ref="B68:D70"/>
    <mergeCell ref="E68:E70"/>
    <mergeCell ref="F68:G68"/>
    <mergeCell ref="H68:I68"/>
    <mergeCell ref="J68:L68"/>
    <mergeCell ref="M68:O68"/>
    <mergeCell ref="P68:Q68"/>
    <mergeCell ref="R68:S68"/>
    <mergeCell ref="T68:V70"/>
    <mergeCell ref="F69:F70"/>
    <mergeCell ref="G69:G70"/>
    <mergeCell ref="H69:H70"/>
    <mergeCell ref="I69:I70"/>
    <mergeCell ref="J69:J70"/>
    <mergeCell ref="K69:K70"/>
    <mergeCell ref="R69:R70"/>
    <mergeCell ref="S69:S70"/>
    <mergeCell ref="M69:M70"/>
    <mergeCell ref="N69:N70"/>
    <mergeCell ref="B56:D56"/>
    <mergeCell ref="B57:D57"/>
    <mergeCell ref="B58:D58"/>
    <mergeCell ref="B59:D59"/>
    <mergeCell ref="A61:A62"/>
    <mergeCell ref="B61:D61"/>
    <mergeCell ref="B62:D62"/>
    <mergeCell ref="R51:R52"/>
    <mergeCell ref="S51:S52"/>
    <mergeCell ref="B53:D53"/>
    <mergeCell ref="A54:A55"/>
    <mergeCell ref="B54:D54"/>
    <mergeCell ref="B55:D55"/>
    <mergeCell ref="L51:L52"/>
    <mergeCell ref="M51:M52"/>
    <mergeCell ref="N51:N52"/>
    <mergeCell ref="O51:O52"/>
    <mergeCell ref="P51:P52"/>
    <mergeCell ref="Q51:Q52"/>
    <mergeCell ref="B45:D45"/>
    <mergeCell ref="B46:D46"/>
    <mergeCell ref="B47:D47"/>
    <mergeCell ref="B49:U49"/>
    <mergeCell ref="A50:A52"/>
    <mergeCell ref="B50:D52"/>
    <mergeCell ref="E50:E52"/>
    <mergeCell ref="F50:G50"/>
    <mergeCell ref="H50:I50"/>
    <mergeCell ref="J50:L50"/>
    <mergeCell ref="M50:O50"/>
    <mergeCell ref="P50:Q50"/>
    <mergeCell ref="R50:S50"/>
    <mergeCell ref="T50:V52"/>
    <mergeCell ref="F51:F52"/>
    <mergeCell ref="G51:G52"/>
    <mergeCell ref="H51:H52"/>
    <mergeCell ref="I51:I52"/>
    <mergeCell ref="J51:J52"/>
    <mergeCell ref="K51:K52"/>
    <mergeCell ref="A37:A38"/>
    <mergeCell ref="B37:D37"/>
    <mergeCell ref="B38:D38"/>
    <mergeCell ref="A40:A44"/>
    <mergeCell ref="B40:D40"/>
    <mergeCell ref="B41:D41"/>
    <mergeCell ref="B42:D42"/>
    <mergeCell ref="B43:D43"/>
    <mergeCell ref="B44:D44"/>
    <mergeCell ref="B36:D36"/>
    <mergeCell ref="T33:V35"/>
    <mergeCell ref="F34:F35"/>
    <mergeCell ref="G34:G35"/>
    <mergeCell ref="H34:H35"/>
    <mergeCell ref="I34:I35"/>
    <mergeCell ref="J34:J35"/>
    <mergeCell ref="K34:K35"/>
    <mergeCell ref="L34:L35"/>
    <mergeCell ref="M34:M35"/>
    <mergeCell ref="N34:N35"/>
    <mergeCell ref="B24:D24"/>
    <mergeCell ref="B25:D25"/>
    <mergeCell ref="B26:D26"/>
    <mergeCell ref="B32:U32"/>
    <mergeCell ref="A33:A35"/>
    <mergeCell ref="B33:D35"/>
    <mergeCell ref="E33:E35"/>
    <mergeCell ref="F33:G33"/>
    <mergeCell ref="H33:I33"/>
    <mergeCell ref="J33:L33"/>
    <mergeCell ref="M33:O33"/>
    <mergeCell ref="P33:Q33"/>
    <mergeCell ref="R33:S33"/>
    <mergeCell ref="O34:O35"/>
    <mergeCell ref="P34:P35"/>
    <mergeCell ref="Q34:Q35"/>
    <mergeCell ref="R34:R35"/>
    <mergeCell ref="S34:S35"/>
    <mergeCell ref="B28:D28"/>
    <mergeCell ref="B29:D29"/>
    <mergeCell ref="A31:V31"/>
    <mergeCell ref="B23:D23"/>
    <mergeCell ref="M17:M18"/>
    <mergeCell ref="N17:N18"/>
    <mergeCell ref="O17:O18"/>
    <mergeCell ref="P17:P18"/>
    <mergeCell ref="Q17:Q18"/>
    <mergeCell ref="R17:R18"/>
    <mergeCell ref="G17:G18"/>
    <mergeCell ref="H17:H18"/>
    <mergeCell ref="I17:I18"/>
    <mergeCell ref="J17:J18"/>
    <mergeCell ref="K17:K18"/>
    <mergeCell ref="L17:L18"/>
    <mergeCell ref="B19:D19"/>
    <mergeCell ref="B20:D20"/>
    <mergeCell ref="B21:D21"/>
    <mergeCell ref="B22:D22"/>
    <mergeCell ref="A1:V1"/>
    <mergeCell ref="A3:V3"/>
    <mergeCell ref="A4:B4"/>
    <mergeCell ref="G4:V11"/>
    <mergeCell ref="A6:B6"/>
    <mergeCell ref="A7:B7"/>
    <mergeCell ref="A8:B8"/>
    <mergeCell ref="A10:B10"/>
    <mergeCell ref="A11:B11"/>
    <mergeCell ref="A13:V13"/>
    <mergeCell ref="A14:V14"/>
    <mergeCell ref="B15:U15"/>
    <mergeCell ref="A16:A18"/>
    <mergeCell ref="B16:D18"/>
    <mergeCell ref="E16:E18"/>
    <mergeCell ref="F16:G16"/>
    <mergeCell ref="H16:I16"/>
    <mergeCell ref="J16:L16"/>
    <mergeCell ref="M16:O16"/>
    <mergeCell ref="P16:Q16"/>
    <mergeCell ref="R16:S16"/>
    <mergeCell ref="T16:V18"/>
    <mergeCell ref="F17:F18"/>
    <mergeCell ref="S17:S18"/>
  </mergeCells>
  <printOptions horizontalCentered="1"/>
  <pageMargins left="0.23622047244094491" right="0.23622047244094491" top="0.74803149606299213" bottom="0.74803149606299213" header="0.31496062992125984" footer="0.31496062992125984"/>
  <pageSetup scale="24" fitToHeight="3" orientation="landscape" r:id="rId1"/>
  <rowBreaks count="3" manualBreakCount="3">
    <brk id="48" max="21" man="1"/>
    <brk id="86" max="21" man="1"/>
    <brk id="127" max="21" man="1"/>
  </rowBreaks>
  <ignoredErrors>
    <ignoredError sqref="L86 O143 Q148 O14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3"/>
  <sheetViews>
    <sheetView showGridLines="0" view="pageBreakPreview" topLeftCell="A28" zoomScale="55" zoomScaleNormal="75" zoomScaleSheetLayoutView="55" zoomScalePageLayoutView="55" workbookViewId="0">
      <selection activeCell="H57" sqref="H57"/>
    </sheetView>
  </sheetViews>
  <sheetFormatPr baseColWidth="10" defaultRowHeight="18.75" x14ac:dyDescent="0.3"/>
  <cols>
    <col min="1" max="1" width="23.140625" style="1" customWidth="1"/>
    <col min="2" max="2" width="16.42578125" style="1" customWidth="1"/>
    <col min="3" max="3" width="17.28515625" style="1" customWidth="1"/>
    <col min="4" max="4" width="33.85546875" style="3" customWidth="1"/>
    <col min="5" max="5" width="19.28515625" style="2" customWidth="1"/>
    <col min="6" max="6" width="16.140625" style="2" customWidth="1"/>
    <col min="7" max="7" width="14.42578125" style="2" customWidth="1"/>
    <col min="8" max="8" width="16.140625" style="11" customWidth="1"/>
    <col min="9" max="9" width="19.85546875" style="2" customWidth="1"/>
    <col min="10" max="10" width="19.85546875" style="11" customWidth="1"/>
    <col min="11" max="11" width="19.28515625" style="2" customWidth="1"/>
    <col min="12" max="12" width="20" style="1" customWidth="1"/>
    <col min="13" max="13" width="19.28515625" style="1" customWidth="1"/>
    <col min="14" max="14" width="20.42578125" style="1" customWidth="1"/>
    <col min="15" max="15" width="18.28515625" style="1" customWidth="1"/>
    <col min="16" max="16" width="24.7109375" style="1" customWidth="1"/>
    <col min="17" max="17" width="1.140625" style="1" customWidth="1"/>
    <col min="18" max="18" width="3.140625" style="1" customWidth="1"/>
    <col min="19" max="23" width="11.42578125" style="1"/>
    <col min="24" max="24" width="15.42578125" style="1" bestFit="1" customWidth="1"/>
    <col min="25" max="16384" width="11.42578125" style="1"/>
  </cols>
  <sheetData>
    <row r="1" spans="1:17" ht="19.5" thickBot="1" x14ac:dyDescent="0.35"/>
    <row r="2" spans="1:17" ht="46.5" customHeight="1" thickBot="1" x14ac:dyDescent="0.75">
      <c r="A2" s="730" t="s">
        <v>87</v>
      </c>
      <c r="B2" s="731"/>
      <c r="C2" s="731"/>
      <c r="D2" s="731"/>
      <c r="E2" s="731"/>
      <c r="F2" s="731"/>
      <c r="G2" s="731"/>
      <c r="H2" s="731"/>
      <c r="I2" s="731"/>
      <c r="J2" s="731"/>
      <c r="K2" s="731"/>
      <c r="L2" s="731"/>
      <c r="M2" s="731"/>
      <c r="N2" s="731"/>
      <c r="O2" s="731"/>
      <c r="P2" s="732"/>
    </row>
    <row r="3" spans="1:17" ht="13.5" customHeight="1" thickBot="1" x14ac:dyDescent="0.75">
      <c r="A3" s="95"/>
      <c r="B3" s="96"/>
      <c r="C3" s="96"/>
      <c r="D3" s="96"/>
      <c r="E3" s="96"/>
      <c r="F3" s="96"/>
      <c r="G3" s="96"/>
      <c r="H3" s="96"/>
      <c r="I3" s="96"/>
      <c r="J3" s="96"/>
      <c r="K3" s="96"/>
      <c r="L3" s="96"/>
      <c r="M3" s="96"/>
      <c r="N3" s="96"/>
      <c r="O3" s="96"/>
      <c r="P3" s="97"/>
    </row>
    <row r="4" spans="1:17" ht="7.5" customHeight="1" thickBot="1" x14ac:dyDescent="0.35">
      <c r="A4" s="733"/>
      <c r="B4" s="734"/>
      <c r="C4" s="734"/>
      <c r="D4" s="734"/>
      <c r="E4" s="734"/>
      <c r="F4" s="734"/>
      <c r="G4" s="734"/>
      <c r="H4" s="734"/>
      <c r="I4" s="734"/>
      <c r="J4" s="734"/>
      <c r="K4" s="734"/>
      <c r="L4" s="734"/>
      <c r="M4" s="734"/>
      <c r="N4" s="734"/>
      <c r="O4" s="734"/>
      <c r="P4" s="735"/>
    </row>
    <row r="5" spans="1:17" ht="39.75" thickBot="1" x14ac:dyDescent="0.65">
      <c r="A5" s="736" t="s">
        <v>22</v>
      </c>
      <c r="B5" s="737"/>
      <c r="C5" s="737"/>
      <c r="D5" s="737"/>
      <c r="E5" s="737"/>
      <c r="F5" s="737"/>
      <c r="G5" s="737"/>
      <c r="H5" s="737"/>
      <c r="I5" s="737"/>
      <c r="J5" s="737"/>
      <c r="K5" s="737"/>
      <c r="L5" s="737"/>
      <c r="M5" s="737"/>
      <c r="N5" s="737"/>
      <c r="O5" s="737"/>
      <c r="P5" s="738"/>
    </row>
    <row r="6" spans="1:17" ht="8.25" customHeight="1" thickBot="1" x14ac:dyDescent="0.4">
      <c r="A6" s="739"/>
      <c r="B6" s="740"/>
      <c r="C6" s="740"/>
      <c r="D6" s="740"/>
      <c r="E6" s="740"/>
      <c r="F6" s="740"/>
      <c r="G6" s="740"/>
      <c r="H6" s="740"/>
      <c r="I6" s="740"/>
      <c r="J6" s="740"/>
      <c r="K6" s="740"/>
      <c r="L6" s="740"/>
      <c r="M6" s="740"/>
      <c r="N6" s="740"/>
      <c r="O6" s="740"/>
      <c r="P6" s="741"/>
    </row>
    <row r="7" spans="1:17" ht="8.25" customHeight="1" thickBot="1" x14ac:dyDescent="0.4">
      <c r="A7" s="98"/>
      <c r="B7" s="98"/>
      <c r="C7" s="98" t="s">
        <v>88</v>
      </c>
      <c r="D7" s="98"/>
      <c r="E7" s="98"/>
      <c r="F7" s="98"/>
      <c r="G7" s="98"/>
      <c r="H7" s="98"/>
      <c r="I7" s="98"/>
      <c r="J7" s="98"/>
      <c r="K7" s="98"/>
      <c r="L7" s="98"/>
      <c r="M7" s="98"/>
      <c r="N7" s="98"/>
      <c r="O7" s="98"/>
      <c r="P7" s="98"/>
    </row>
    <row r="8" spans="1:17" ht="18.75" customHeight="1" x14ac:dyDescent="0.35">
      <c r="A8" s="742" t="s">
        <v>1</v>
      </c>
      <c r="B8" s="743"/>
      <c r="C8" s="744">
        <v>2024</v>
      </c>
      <c r="D8" s="745"/>
      <c r="E8" s="746" t="s">
        <v>8</v>
      </c>
      <c r="F8" s="747"/>
      <c r="G8" s="747"/>
      <c r="H8" s="747"/>
      <c r="I8" s="747"/>
      <c r="J8" s="747"/>
      <c r="K8" s="747"/>
      <c r="L8" s="747"/>
      <c r="M8" s="747"/>
      <c r="N8" s="747"/>
      <c r="O8" s="747"/>
      <c r="P8" s="748"/>
      <c r="Q8" s="17"/>
    </row>
    <row r="9" spans="1:17" ht="18.75" customHeight="1" x14ac:dyDescent="0.35">
      <c r="A9" s="99"/>
      <c r="B9" s="100" t="s">
        <v>20</v>
      </c>
      <c r="C9" s="754" t="s">
        <v>218</v>
      </c>
      <c r="D9" s="755"/>
      <c r="E9" s="749"/>
      <c r="F9" s="538"/>
      <c r="G9" s="538"/>
      <c r="H9" s="538"/>
      <c r="I9" s="538"/>
      <c r="J9" s="538"/>
      <c r="K9" s="538"/>
      <c r="L9" s="538"/>
      <c r="M9" s="538"/>
      <c r="N9" s="538"/>
      <c r="O9" s="538"/>
      <c r="P9" s="750"/>
      <c r="Q9" s="17"/>
    </row>
    <row r="10" spans="1:17" ht="23.25" x14ac:dyDescent="0.35">
      <c r="A10" s="756" t="s">
        <v>3</v>
      </c>
      <c r="B10" s="757"/>
      <c r="C10" s="754" t="s">
        <v>102</v>
      </c>
      <c r="D10" s="755"/>
      <c r="E10" s="749"/>
      <c r="F10" s="538"/>
      <c r="G10" s="538"/>
      <c r="H10" s="538"/>
      <c r="I10" s="538"/>
      <c r="J10" s="538"/>
      <c r="K10" s="538"/>
      <c r="L10" s="538"/>
      <c r="M10" s="538"/>
      <c r="N10" s="538"/>
      <c r="O10" s="538"/>
      <c r="P10" s="750"/>
      <c r="Q10" s="17"/>
    </row>
    <row r="11" spans="1:17" ht="23.25" x14ac:dyDescent="0.35">
      <c r="A11" s="756" t="s">
        <v>2</v>
      </c>
      <c r="B11" s="757"/>
      <c r="C11" s="754" t="s">
        <v>89</v>
      </c>
      <c r="D11" s="755"/>
      <c r="E11" s="749"/>
      <c r="F11" s="538"/>
      <c r="G11" s="538"/>
      <c r="H11" s="538"/>
      <c r="I11" s="538"/>
      <c r="J11" s="538"/>
      <c r="K11" s="538"/>
      <c r="L11" s="538"/>
      <c r="M11" s="538"/>
      <c r="N11" s="538"/>
      <c r="O11" s="538"/>
      <c r="P11" s="750"/>
      <c r="Q11" s="17"/>
    </row>
    <row r="12" spans="1:17" ht="24.75" customHeight="1" x14ac:dyDescent="0.3">
      <c r="A12" s="758" t="s">
        <v>4</v>
      </c>
      <c r="B12" s="759"/>
      <c r="C12" s="754" t="s">
        <v>90</v>
      </c>
      <c r="D12" s="755"/>
      <c r="E12" s="749"/>
      <c r="F12" s="538"/>
      <c r="G12" s="538"/>
      <c r="H12" s="538"/>
      <c r="I12" s="538"/>
      <c r="J12" s="538"/>
      <c r="K12" s="538"/>
      <c r="L12" s="538"/>
      <c r="M12" s="538"/>
      <c r="N12" s="538"/>
      <c r="O12" s="538"/>
      <c r="P12" s="750"/>
      <c r="Q12" s="17"/>
    </row>
    <row r="13" spans="1:17" ht="21" customHeight="1" thickBot="1" x14ac:dyDescent="0.35">
      <c r="A13" s="101"/>
      <c r="B13" s="102" t="s">
        <v>13</v>
      </c>
      <c r="C13" s="754" t="s">
        <v>91</v>
      </c>
      <c r="D13" s="755"/>
      <c r="E13" s="749"/>
      <c r="F13" s="538"/>
      <c r="G13" s="538"/>
      <c r="H13" s="538"/>
      <c r="I13" s="538"/>
      <c r="J13" s="538"/>
      <c r="K13" s="538"/>
      <c r="L13" s="538"/>
      <c r="M13" s="538"/>
      <c r="N13" s="538"/>
      <c r="O13" s="538"/>
      <c r="P13" s="750"/>
      <c r="Q13" s="17"/>
    </row>
    <row r="14" spans="1:17" ht="21" customHeight="1" x14ac:dyDescent="0.3">
      <c r="A14" s="19"/>
      <c r="B14" s="19"/>
      <c r="C14" s="63"/>
      <c r="D14" s="6"/>
      <c r="E14" s="749"/>
      <c r="F14" s="538"/>
      <c r="G14" s="538"/>
      <c r="H14" s="538"/>
      <c r="I14" s="538"/>
      <c r="J14" s="538"/>
      <c r="K14" s="538"/>
      <c r="L14" s="538"/>
      <c r="M14" s="538"/>
      <c r="N14" s="538"/>
      <c r="O14" s="538"/>
      <c r="P14" s="750"/>
      <c r="Q14" s="17"/>
    </row>
    <row r="15" spans="1:17" ht="58.5" customHeight="1" thickBot="1" x14ac:dyDescent="0.35">
      <c r="A15" s="19"/>
      <c r="B15" s="19"/>
      <c r="C15" s="8"/>
      <c r="D15" s="6"/>
      <c r="E15" s="751"/>
      <c r="F15" s="752"/>
      <c r="G15" s="752"/>
      <c r="H15" s="752"/>
      <c r="I15" s="752"/>
      <c r="J15" s="752"/>
      <c r="K15" s="752"/>
      <c r="L15" s="752"/>
      <c r="M15" s="752"/>
      <c r="N15" s="752"/>
      <c r="O15" s="752"/>
      <c r="P15" s="753"/>
      <c r="Q15" s="17"/>
    </row>
    <row r="16" spans="1:17" ht="15" customHeight="1" thickBot="1" x14ac:dyDescent="0.35">
      <c r="A16" s="19"/>
      <c r="B16" s="19"/>
      <c r="C16" s="8"/>
      <c r="D16" s="6"/>
      <c r="E16" s="103"/>
      <c r="F16" s="103"/>
      <c r="G16" s="103"/>
      <c r="H16" s="103"/>
      <c r="I16" s="103"/>
      <c r="J16" s="103"/>
      <c r="K16" s="103"/>
      <c r="L16" s="103"/>
      <c r="M16" s="103"/>
      <c r="N16" s="103"/>
      <c r="O16" s="103"/>
      <c r="P16" s="103"/>
      <c r="Q16" s="17"/>
    </row>
    <row r="17" spans="1:17" ht="7.5" customHeight="1" thickBot="1" x14ac:dyDescent="0.35">
      <c r="A17" s="733"/>
      <c r="B17" s="734"/>
      <c r="C17" s="734"/>
      <c r="D17" s="734"/>
      <c r="E17" s="734"/>
      <c r="F17" s="734"/>
      <c r="G17" s="734"/>
      <c r="H17" s="734"/>
      <c r="I17" s="734"/>
      <c r="J17" s="734"/>
      <c r="K17" s="734"/>
      <c r="L17" s="734"/>
      <c r="M17" s="734"/>
      <c r="N17" s="734"/>
      <c r="O17" s="734"/>
      <c r="P17" s="735"/>
    </row>
    <row r="18" spans="1:17" ht="39.75" thickBot="1" x14ac:dyDescent="0.65">
      <c r="A18" s="736" t="s">
        <v>86</v>
      </c>
      <c r="B18" s="737"/>
      <c r="C18" s="737"/>
      <c r="D18" s="737"/>
      <c r="E18" s="737"/>
      <c r="F18" s="737"/>
      <c r="G18" s="737"/>
      <c r="H18" s="737"/>
      <c r="I18" s="737"/>
      <c r="J18" s="737"/>
      <c r="K18" s="737"/>
      <c r="L18" s="737"/>
      <c r="M18" s="737"/>
      <c r="N18" s="737"/>
      <c r="O18" s="737"/>
      <c r="P18" s="738"/>
    </row>
    <row r="19" spans="1:17" ht="8.25" customHeight="1" x14ac:dyDescent="0.35">
      <c r="A19" s="760"/>
      <c r="B19" s="761"/>
      <c r="C19" s="761"/>
      <c r="D19" s="761"/>
      <c r="E19" s="761"/>
      <c r="F19" s="761"/>
      <c r="G19" s="761"/>
      <c r="H19" s="761"/>
      <c r="I19" s="761"/>
      <c r="J19" s="761"/>
      <c r="K19" s="761"/>
      <c r="L19" s="761"/>
      <c r="M19" s="761"/>
      <c r="N19" s="761"/>
      <c r="O19" s="761"/>
      <c r="P19" s="762"/>
    </row>
    <row r="20" spans="1:17" ht="56.25" customHeight="1" thickBot="1" x14ac:dyDescent="0.4">
      <c r="A20" s="104"/>
      <c r="B20" s="104"/>
      <c r="C20" s="104"/>
      <c r="D20" s="105"/>
      <c r="E20" s="32"/>
      <c r="F20" s="33"/>
      <c r="G20" s="33"/>
      <c r="H20" s="39"/>
      <c r="I20" s="33"/>
      <c r="J20" s="39"/>
      <c r="K20" s="33"/>
      <c r="L20" s="31"/>
      <c r="M20" s="31"/>
      <c r="N20" s="31"/>
      <c r="O20" s="31"/>
      <c r="P20" s="31"/>
    </row>
    <row r="21" spans="1:17" ht="98.25" customHeight="1" thickBot="1" x14ac:dyDescent="0.35">
      <c r="A21" s="106" t="s">
        <v>57</v>
      </c>
      <c r="B21" s="763" t="s">
        <v>58</v>
      </c>
      <c r="C21" s="764"/>
      <c r="D21" s="763" t="s">
        <v>59</v>
      </c>
      <c r="E21" s="767"/>
      <c r="F21" s="767"/>
      <c r="G21" s="767"/>
      <c r="H21" s="767"/>
      <c r="I21" s="107" t="s">
        <v>60</v>
      </c>
      <c r="J21" s="108" t="s">
        <v>61</v>
      </c>
      <c r="K21" s="108" t="s">
        <v>71</v>
      </c>
      <c r="L21" s="109" t="s">
        <v>72</v>
      </c>
      <c r="M21" s="109" t="s">
        <v>74</v>
      </c>
      <c r="N21" s="109" t="s">
        <v>73</v>
      </c>
      <c r="O21" s="765" t="s">
        <v>62</v>
      </c>
      <c r="P21" s="766"/>
    </row>
    <row r="22" spans="1:17" ht="97.5" customHeight="1" x14ac:dyDescent="0.3">
      <c r="A22" s="377" t="s">
        <v>92</v>
      </c>
      <c r="B22" s="768" t="s">
        <v>147</v>
      </c>
      <c r="C22" s="769"/>
      <c r="D22" s="770" t="s">
        <v>148</v>
      </c>
      <c r="E22" s="771"/>
      <c r="F22" s="771"/>
      <c r="G22" s="771"/>
      <c r="H22" s="772"/>
      <c r="I22" s="379">
        <v>14445778</v>
      </c>
      <c r="J22" s="379" t="s">
        <v>96</v>
      </c>
      <c r="K22" s="378">
        <v>44477</v>
      </c>
      <c r="L22" s="378">
        <v>44729</v>
      </c>
      <c r="M22" s="477">
        <v>1</v>
      </c>
      <c r="N22" s="478">
        <v>1</v>
      </c>
      <c r="O22" s="513" t="s">
        <v>208</v>
      </c>
      <c r="P22" s="513"/>
    </row>
    <row r="23" spans="1:17" ht="97.5" customHeight="1" x14ac:dyDescent="0.3">
      <c r="A23" s="377" t="s">
        <v>92</v>
      </c>
      <c r="B23" s="768" t="s">
        <v>147</v>
      </c>
      <c r="C23" s="769"/>
      <c r="D23" s="770" t="s">
        <v>196</v>
      </c>
      <c r="E23" s="771"/>
      <c r="F23" s="771"/>
      <c r="G23" s="771"/>
      <c r="H23" s="772"/>
      <c r="I23" s="379">
        <v>21046670</v>
      </c>
      <c r="J23" s="379" t="s">
        <v>96</v>
      </c>
      <c r="K23" s="378">
        <v>45329</v>
      </c>
      <c r="L23" s="378">
        <v>45399</v>
      </c>
      <c r="M23" s="477">
        <v>1</v>
      </c>
      <c r="N23" s="477">
        <v>1</v>
      </c>
      <c r="O23" s="513" t="s">
        <v>208</v>
      </c>
      <c r="P23" s="513"/>
    </row>
    <row r="24" spans="1:17" ht="244.5" customHeight="1" x14ac:dyDescent="0.35">
      <c r="A24" s="377" t="s">
        <v>92</v>
      </c>
      <c r="B24" s="768" t="s">
        <v>147</v>
      </c>
      <c r="C24" s="769"/>
      <c r="D24" s="770" t="s">
        <v>202</v>
      </c>
      <c r="E24" s="771"/>
      <c r="F24" s="771"/>
      <c r="G24" s="771"/>
      <c r="H24" s="772"/>
      <c r="I24" s="379" t="s">
        <v>96</v>
      </c>
      <c r="J24" s="379" t="s">
        <v>96</v>
      </c>
      <c r="K24" s="379" t="s">
        <v>96</v>
      </c>
      <c r="L24" s="379" t="s">
        <v>96</v>
      </c>
      <c r="M24" s="477">
        <v>0</v>
      </c>
      <c r="N24" s="477">
        <v>1</v>
      </c>
      <c r="O24" s="775" t="s">
        <v>216</v>
      </c>
      <c r="P24" s="775"/>
    </row>
    <row r="25" spans="1:17" ht="76.5" customHeight="1" x14ac:dyDescent="0.35">
      <c r="A25" s="377" t="s">
        <v>92</v>
      </c>
      <c r="B25" s="147" t="s">
        <v>142</v>
      </c>
      <c r="C25" s="476"/>
      <c r="D25" s="727" t="s">
        <v>209</v>
      </c>
      <c r="E25" s="728"/>
      <c r="F25" s="728"/>
      <c r="G25" s="728"/>
      <c r="H25" s="729"/>
      <c r="I25" s="379">
        <v>23222824</v>
      </c>
      <c r="J25" s="379" t="s">
        <v>96</v>
      </c>
      <c r="K25" s="479">
        <v>45279</v>
      </c>
      <c r="L25" s="479">
        <f>+K25+150</f>
        <v>45429</v>
      </c>
      <c r="M25" s="477">
        <v>1</v>
      </c>
      <c r="N25" s="477">
        <v>1</v>
      </c>
      <c r="O25" s="513" t="s">
        <v>208</v>
      </c>
      <c r="P25" s="513"/>
    </row>
    <row r="26" spans="1:17" ht="63" customHeight="1" x14ac:dyDescent="0.3">
      <c r="A26" s="377" t="s">
        <v>92</v>
      </c>
      <c r="B26" s="545" t="s">
        <v>210</v>
      </c>
      <c r="C26" s="547"/>
      <c r="D26" s="724" t="s">
        <v>213</v>
      </c>
      <c r="E26" s="725"/>
      <c r="F26" s="725"/>
      <c r="G26" s="725"/>
      <c r="H26" s="726"/>
      <c r="I26" s="379">
        <v>10580042</v>
      </c>
      <c r="J26" s="379" t="s">
        <v>96</v>
      </c>
      <c r="K26" s="479">
        <v>43749</v>
      </c>
      <c r="L26" s="479">
        <v>44588</v>
      </c>
      <c r="M26" s="477">
        <v>1</v>
      </c>
      <c r="N26" s="477">
        <v>1</v>
      </c>
      <c r="O26" s="513" t="s">
        <v>208</v>
      </c>
      <c r="P26" s="513"/>
    </row>
    <row r="27" spans="1:17" ht="63" customHeight="1" x14ac:dyDescent="0.3">
      <c r="A27" s="377" t="s">
        <v>92</v>
      </c>
      <c r="B27" s="545" t="s">
        <v>211</v>
      </c>
      <c r="C27" s="547"/>
      <c r="D27" s="724" t="s">
        <v>212</v>
      </c>
      <c r="E27" s="725"/>
      <c r="F27" s="725"/>
      <c r="G27" s="725"/>
      <c r="H27" s="726"/>
      <c r="I27" s="379">
        <v>14411237</v>
      </c>
      <c r="J27" s="379" t="s">
        <v>96</v>
      </c>
      <c r="K27" s="479">
        <v>44440</v>
      </c>
      <c r="L27" s="479">
        <v>45046</v>
      </c>
      <c r="M27" s="477">
        <v>1</v>
      </c>
      <c r="N27" s="477">
        <v>1</v>
      </c>
      <c r="O27" s="514" t="s">
        <v>208</v>
      </c>
      <c r="P27" s="540"/>
      <c r="Q27" s="480"/>
    </row>
    <row r="28" spans="1:17" ht="63" customHeight="1" x14ac:dyDescent="0.3">
      <c r="A28" s="715" t="s">
        <v>92</v>
      </c>
      <c r="B28" s="717" t="s">
        <v>214</v>
      </c>
      <c r="C28" s="718"/>
      <c r="D28" s="721" t="s">
        <v>215</v>
      </c>
      <c r="E28" s="722"/>
      <c r="F28" s="722"/>
      <c r="G28" s="722"/>
      <c r="H28" s="723"/>
      <c r="I28" s="379">
        <v>19300697</v>
      </c>
      <c r="J28" s="379" t="s">
        <v>96</v>
      </c>
      <c r="K28" s="479">
        <v>45085</v>
      </c>
      <c r="L28" s="479">
        <v>45169</v>
      </c>
      <c r="M28" s="477">
        <v>1</v>
      </c>
      <c r="N28" s="477">
        <v>1</v>
      </c>
      <c r="O28" s="514" t="s">
        <v>208</v>
      </c>
      <c r="P28" s="540"/>
      <c r="Q28" s="480"/>
    </row>
    <row r="29" spans="1:17" ht="83.25" customHeight="1" x14ac:dyDescent="0.3">
      <c r="A29" s="716"/>
      <c r="B29" s="719"/>
      <c r="C29" s="720"/>
      <c r="D29" s="724"/>
      <c r="E29" s="725"/>
      <c r="F29" s="725"/>
      <c r="G29" s="725"/>
      <c r="H29" s="726"/>
      <c r="I29" s="379">
        <v>19300697</v>
      </c>
      <c r="J29" s="379" t="s">
        <v>96</v>
      </c>
      <c r="K29" s="479">
        <v>45178</v>
      </c>
      <c r="L29" s="479">
        <v>45169</v>
      </c>
      <c r="M29" s="477">
        <v>1</v>
      </c>
      <c r="N29" s="477">
        <v>1</v>
      </c>
      <c r="O29" s="514" t="s">
        <v>208</v>
      </c>
      <c r="P29" s="540"/>
      <c r="Q29" s="480"/>
    </row>
    <row r="30" spans="1:17" ht="81" customHeight="1" x14ac:dyDescent="0.3">
      <c r="A30" s="377" t="s">
        <v>92</v>
      </c>
      <c r="B30" s="773" t="s">
        <v>147</v>
      </c>
      <c r="C30" s="774"/>
      <c r="D30" s="770" t="s">
        <v>205</v>
      </c>
      <c r="E30" s="771"/>
      <c r="F30" s="771"/>
      <c r="G30" s="771"/>
      <c r="H30" s="772"/>
      <c r="I30" s="379">
        <v>23222824</v>
      </c>
      <c r="J30" s="379" t="s">
        <v>96</v>
      </c>
      <c r="K30" s="475">
        <v>45301</v>
      </c>
      <c r="L30" s="475">
        <v>45443</v>
      </c>
      <c r="M30" s="477">
        <v>1</v>
      </c>
      <c r="N30" s="477">
        <v>1</v>
      </c>
      <c r="O30" s="514" t="s">
        <v>208</v>
      </c>
      <c r="P30" s="540"/>
    </row>
    <row r="31" spans="1:17" ht="42.75" customHeight="1" x14ac:dyDescent="0.35">
      <c r="A31" s="104"/>
      <c r="B31" s="104"/>
      <c r="C31" s="104"/>
      <c r="D31" s="105"/>
      <c r="E31" s="32"/>
      <c r="F31" s="33"/>
      <c r="G31" s="33"/>
      <c r="H31" s="39"/>
      <c r="I31" s="33"/>
      <c r="J31" s="39"/>
      <c r="K31" s="33"/>
      <c r="L31" s="31"/>
      <c r="M31" s="31"/>
      <c r="N31" s="31"/>
      <c r="O31" s="31"/>
      <c r="P31" s="31"/>
    </row>
    <row r="32" spans="1:17" ht="56.25" customHeight="1" x14ac:dyDescent="0.3">
      <c r="B32" s="57"/>
      <c r="C32" s="15"/>
      <c r="D32" s="15"/>
      <c r="E32" s="15"/>
      <c r="F32" s="16"/>
      <c r="G32" s="1"/>
      <c r="H32" s="1"/>
      <c r="I32" s="1"/>
      <c r="J32" s="57"/>
      <c r="K32" s="15"/>
      <c r="L32" s="15"/>
      <c r="M32" s="15"/>
      <c r="N32" s="15"/>
      <c r="O32" s="16"/>
    </row>
    <row r="33" spans="2:15" ht="56.25" customHeight="1" x14ac:dyDescent="0.3">
      <c r="B33" s="491" t="s">
        <v>16</v>
      </c>
      <c r="C33" s="492"/>
      <c r="D33" s="492"/>
      <c r="E33" s="492"/>
      <c r="F33" s="493"/>
      <c r="J33" s="491" t="s">
        <v>17</v>
      </c>
      <c r="K33" s="492"/>
      <c r="L33" s="492"/>
      <c r="M33" s="492"/>
      <c r="N33" s="492"/>
      <c r="O33" s="493"/>
    </row>
  </sheetData>
  <mergeCells count="48">
    <mergeCell ref="B33:F33"/>
    <mergeCell ref="J33:O33"/>
    <mergeCell ref="D21:H21"/>
    <mergeCell ref="B22:C22"/>
    <mergeCell ref="D22:H22"/>
    <mergeCell ref="B24:C24"/>
    <mergeCell ref="D24:H24"/>
    <mergeCell ref="O30:P30"/>
    <mergeCell ref="B30:C30"/>
    <mergeCell ref="D30:H30"/>
    <mergeCell ref="B23:C23"/>
    <mergeCell ref="D23:H23"/>
    <mergeCell ref="O22:P22"/>
    <mergeCell ref="O24:P24"/>
    <mergeCell ref="O23:P23"/>
    <mergeCell ref="O25:P25"/>
    <mergeCell ref="A18:P18"/>
    <mergeCell ref="A19:P19"/>
    <mergeCell ref="B21:C21"/>
    <mergeCell ref="O21:P21"/>
    <mergeCell ref="A17:P17"/>
    <mergeCell ref="A2:P2"/>
    <mergeCell ref="A4:P4"/>
    <mergeCell ref="A5:P5"/>
    <mergeCell ref="A6:P6"/>
    <mergeCell ref="A8:B8"/>
    <mergeCell ref="C8:D8"/>
    <mergeCell ref="E8:P15"/>
    <mergeCell ref="C9:D9"/>
    <mergeCell ref="A10:B10"/>
    <mergeCell ref="C10:D10"/>
    <mergeCell ref="A11:B11"/>
    <mergeCell ref="C11:D11"/>
    <mergeCell ref="A12:B12"/>
    <mergeCell ref="C12:D12"/>
    <mergeCell ref="C13:D13"/>
    <mergeCell ref="B27:C27"/>
    <mergeCell ref="D27:H27"/>
    <mergeCell ref="O27:P27"/>
    <mergeCell ref="O26:P26"/>
    <mergeCell ref="D25:H25"/>
    <mergeCell ref="B26:C26"/>
    <mergeCell ref="D26:H26"/>
    <mergeCell ref="O28:P28"/>
    <mergeCell ref="O29:P29"/>
    <mergeCell ref="A28:A29"/>
    <mergeCell ref="B28:C29"/>
    <mergeCell ref="D28:H29"/>
  </mergeCells>
  <printOptions horizontalCentered="1"/>
  <pageMargins left="0.39370078740157483" right="0.11811023622047245" top="0.74803149606299213" bottom="0.74803149606299213" header="0.31496062992125984" footer="0.31496062992125984"/>
  <pageSetup scale="3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90"/>
  <sheetViews>
    <sheetView topLeftCell="A70" zoomScaleNormal="100" zoomScaleSheetLayoutView="80" workbookViewId="0">
      <selection activeCell="B86" sqref="B86"/>
    </sheetView>
  </sheetViews>
  <sheetFormatPr baseColWidth="10" defaultRowHeight="15" x14ac:dyDescent="0.25"/>
  <cols>
    <col min="1" max="1" width="13" bestFit="1" customWidth="1"/>
    <col min="2" max="2" width="63.7109375" customWidth="1"/>
    <col min="3" max="3" width="16" style="451" customWidth="1"/>
    <col min="4" max="4" width="17.85546875" style="451" bestFit="1" customWidth="1"/>
    <col min="5" max="5" width="27.28515625" customWidth="1"/>
    <col min="6" max="6" width="12.42578125" bestFit="1" customWidth="1"/>
    <col min="7" max="7" width="11.7109375" bestFit="1" customWidth="1"/>
  </cols>
  <sheetData>
    <row r="1" spans="1:6" x14ac:dyDescent="0.25">
      <c r="A1" s="776" t="s">
        <v>171</v>
      </c>
      <c r="B1" s="776"/>
      <c r="C1" s="776"/>
      <c r="D1" s="776"/>
      <c r="E1" s="776"/>
    </row>
    <row r="2" spans="1:6" x14ac:dyDescent="0.25">
      <c r="C2" s="451" t="s">
        <v>172</v>
      </c>
      <c r="D2" s="452" t="s">
        <v>170</v>
      </c>
    </row>
    <row r="3" spans="1:6" ht="18.75" customHeight="1" x14ac:dyDescent="0.25">
      <c r="B3" s="401" t="s">
        <v>98</v>
      </c>
      <c r="C3" s="453"/>
      <c r="D3" s="454"/>
    </row>
    <row r="4" spans="1:6" x14ac:dyDescent="0.25">
      <c r="A4" t="s">
        <v>163</v>
      </c>
      <c r="B4" s="384" t="s">
        <v>149</v>
      </c>
      <c r="C4" s="455">
        <f>23397470-1373595-9773875</f>
        <v>12250000</v>
      </c>
      <c r="D4" s="456">
        <f>700000+5110000+6440000</f>
        <v>12250000</v>
      </c>
      <c r="E4" t="s">
        <v>191</v>
      </c>
    </row>
    <row r="5" spans="1:6" ht="15" customHeight="1" x14ac:dyDescent="0.25">
      <c r="A5" t="s">
        <v>164</v>
      </c>
      <c r="B5" s="384" t="s">
        <v>149</v>
      </c>
      <c r="C5" s="455">
        <f>223702530-7682675-188626405+2660000-2058905</f>
        <v>27994545</v>
      </c>
      <c r="D5" s="457">
        <f>5180000+3640000+19104545</f>
        <v>27924545</v>
      </c>
      <c r="E5" t="s">
        <v>191</v>
      </c>
    </row>
    <row r="6" spans="1:6" ht="15" customHeight="1" x14ac:dyDescent="0.25">
      <c r="A6" t="s">
        <v>193</v>
      </c>
      <c r="B6" s="384" t="s">
        <v>166</v>
      </c>
      <c r="C6" s="455">
        <f>3370250-1079650</f>
        <v>2290600</v>
      </c>
      <c r="D6" s="482">
        <f>147000+147000+172000+267174.19+201000+186700+189000+261000</f>
        <v>1570874.19</v>
      </c>
      <c r="E6" t="s">
        <v>191</v>
      </c>
      <c r="F6" s="380">
        <f>+D6+D65</f>
        <v>3425251.62</v>
      </c>
    </row>
    <row r="7" spans="1:6" ht="15" customHeight="1" x14ac:dyDescent="0.25">
      <c r="A7" t="s">
        <v>193</v>
      </c>
      <c r="B7" s="384" t="s">
        <v>150</v>
      </c>
      <c r="C7" s="455">
        <f>14766000-594000-9072000</f>
        <v>5100000</v>
      </c>
      <c r="D7" s="482">
        <f>520000+330000+205000+615000+590000+475000+155000+705000</f>
        <v>3595000</v>
      </c>
      <c r="E7" t="s">
        <v>191</v>
      </c>
      <c r="F7" s="380"/>
    </row>
    <row r="8" spans="1:6" ht="15" customHeight="1" x14ac:dyDescent="0.25">
      <c r="B8" s="385"/>
      <c r="C8" s="458">
        <f>SUM(C4:C7)</f>
        <v>47635145</v>
      </c>
      <c r="D8" s="459">
        <f>SUM(D4:D7)</f>
        <v>45340419.189999998</v>
      </c>
    </row>
    <row r="9" spans="1:6" ht="6" customHeight="1" x14ac:dyDescent="0.25"/>
    <row r="10" spans="1:6" ht="18.75" x14ac:dyDescent="0.25">
      <c r="B10" s="402" t="s">
        <v>144</v>
      </c>
      <c r="C10" s="460"/>
      <c r="D10" s="461"/>
      <c r="F10" s="380"/>
    </row>
    <row r="11" spans="1:6" x14ac:dyDescent="0.25">
      <c r="A11" t="s">
        <v>163</v>
      </c>
      <c r="B11" s="384" t="s">
        <v>151</v>
      </c>
      <c r="C11" s="455">
        <v>0</v>
      </c>
      <c r="D11" s="457"/>
      <c r="E11" t="s">
        <v>191</v>
      </c>
    </row>
    <row r="12" spans="1:6" x14ac:dyDescent="0.25">
      <c r="B12" s="400" t="s">
        <v>183</v>
      </c>
      <c r="C12" s="455">
        <v>0</v>
      </c>
      <c r="D12" s="457"/>
      <c r="E12" t="s">
        <v>191</v>
      </c>
    </row>
    <row r="13" spans="1:6" x14ac:dyDescent="0.25">
      <c r="B13" s="400"/>
      <c r="C13" s="455"/>
      <c r="D13" s="457"/>
    </row>
    <row r="14" spans="1:6" x14ac:dyDescent="0.25">
      <c r="A14" t="s">
        <v>217</v>
      </c>
      <c r="B14" s="400" t="s">
        <v>184</v>
      </c>
      <c r="C14" s="455">
        <f>30000000-1062300-4737002-3249108</f>
        <v>20951590</v>
      </c>
      <c r="D14" s="457">
        <f>728000+9611950+8421000+2190640</f>
        <v>20951590</v>
      </c>
      <c r="E14" t="s">
        <v>191</v>
      </c>
    </row>
    <row r="15" spans="1:6" x14ac:dyDescent="0.25">
      <c r="B15" s="384"/>
      <c r="C15" s="455"/>
      <c r="D15" s="457"/>
      <c r="E15" t="s">
        <v>191</v>
      </c>
    </row>
    <row r="16" spans="1:6" x14ac:dyDescent="0.25">
      <c r="B16" s="385"/>
      <c r="C16" s="458"/>
      <c r="D16" s="459">
        <f>SUM(D11:D15)</f>
        <v>20951590</v>
      </c>
    </row>
    <row r="17" spans="1:6" ht="6" customHeight="1" x14ac:dyDescent="0.25"/>
    <row r="18" spans="1:6" x14ac:dyDescent="0.25">
      <c r="B18" s="403" t="s">
        <v>152</v>
      </c>
      <c r="C18" s="462">
        <f>+C19+C22+C23+C24</f>
        <v>373546.93</v>
      </c>
      <c r="D18" s="462">
        <f>+D19+D22+D23+D24</f>
        <v>958656.72</v>
      </c>
    </row>
    <row r="19" spans="1:6" x14ac:dyDescent="0.25">
      <c r="A19" t="s">
        <v>193</v>
      </c>
      <c r="B19" s="385" t="s">
        <v>153</v>
      </c>
      <c r="C19" s="458">
        <f>26439995-11319644-768000-14352351</f>
        <v>0</v>
      </c>
      <c r="D19" s="459"/>
      <c r="E19" t="s">
        <v>191</v>
      </c>
    </row>
    <row r="20" spans="1:6" ht="6" customHeight="1" x14ac:dyDescent="0.25"/>
    <row r="21" spans="1:6" ht="26.25" x14ac:dyDescent="0.25">
      <c r="B21" s="399" t="s">
        <v>146</v>
      </c>
      <c r="C21" s="463"/>
      <c r="D21" s="464"/>
    </row>
    <row r="22" spans="1:6" x14ac:dyDescent="0.25">
      <c r="A22" t="s">
        <v>193</v>
      </c>
      <c r="B22" s="385" t="s">
        <v>203</v>
      </c>
      <c r="C22" s="490">
        <v>215000</v>
      </c>
      <c r="D22" s="457">
        <v>205840.34</v>
      </c>
    </row>
    <row r="23" spans="1:6" x14ac:dyDescent="0.25">
      <c r="A23" t="s">
        <v>193</v>
      </c>
      <c r="B23" s="385" t="s">
        <v>167</v>
      </c>
      <c r="C23" s="485">
        <f>94244+2633-5266</f>
        <v>91611</v>
      </c>
      <c r="D23" s="457">
        <f>90880.45</f>
        <v>90880.45</v>
      </c>
      <c r="E23" s="380"/>
      <c r="F23" s="380"/>
    </row>
    <row r="24" spans="1:6" x14ac:dyDescent="0.25">
      <c r="A24" t="s">
        <v>193</v>
      </c>
      <c r="B24" s="385" t="s">
        <v>161</v>
      </c>
      <c r="C24" s="489">
        <v>66935.929999999993</v>
      </c>
      <c r="D24" s="483">
        <v>661935.93000000005</v>
      </c>
    </row>
    <row r="25" spans="1:6" ht="6" customHeight="1" x14ac:dyDescent="0.25"/>
    <row r="27" spans="1:6" x14ac:dyDescent="0.25">
      <c r="B27" s="403" t="s">
        <v>180</v>
      </c>
      <c r="C27" s="462"/>
      <c r="D27" s="464"/>
    </row>
    <row r="28" spans="1:6" x14ac:dyDescent="0.25">
      <c r="A28" t="s">
        <v>164</v>
      </c>
      <c r="B28" s="384" t="s">
        <v>181</v>
      </c>
      <c r="C28" s="455">
        <v>0</v>
      </c>
      <c r="D28" s="457"/>
      <c r="E28" t="s">
        <v>192</v>
      </c>
    </row>
    <row r="29" spans="1:6" x14ac:dyDescent="0.25">
      <c r="A29" t="s">
        <v>164</v>
      </c>
      <c r="B29" s="384" t="s">
        <v>155</v>
      </c>
      <c r="C29" s="455"/>
      <c r="D29" s="457"/>
    </row>
    <row r="30" spans="1:6" x14ac:dyDescent="0.25">
      <c r="A30" t="s">
        <v>164</v>
      </c>
      <c r="B30" s="384" t="s">
        <v>156</v>
      </c>
      <c r="C30" s="455"/>
      <c r="D30" s="457"/>
      <c r="E30" s="380"/>
    </row>
    <row r="31" spans="1:6" x14ac:dyDescent="0.25">
      <c r="A31" t="s">
        <v>164</v>
      </c>
      <c r="B31" s="384" t="s">
        <v>157</v>
      </c>
      <c r="C31" s="455"/>
      <c r="D31" s="457"/>
    </row>
    <row r="32" spans="1:6" x14ac:dyDescent="0.25">
      <c r="A32" t="s">
        <v>164</v>
      </c>
      <c r="B32" s="384" t="s">
        <v>154</v>
      </c>
      <c r="C32" s="455"/>
      <c r="D32" s="457"/>
    </row>
    <row r="33" spans="1:5" x14ac:dyDescent="0.25">
      <c r="A33" t="s">
        <v>164</v>
      </c>
      <c r="D33" s="457"/>
    </row>
    <row r="34" spans="1:5" x14ac:dyDescent="0.25">
      <c r="A34" t="s">
        <v>164</v>
      </c>
      <c r="B34" s="384" t="s">
        <v>151</v>
      </c>
      <c r="C34" s="455"/>
      <c r="D34" s="457"/>
    </row>
    <row r="35" spans="1:5" x14ac:dyDescent="0.25">
      <c r="B35" s="385"/>
      <c r="C35" s="458">
        <f>SUM(C28:C34)</f>
        <v>0</v>
      </c>
      <c r="D35" s="459">
        <f>SUM(D28:D34)</f>
        <v>0</v>
      </c>
    </row>
    <row r="36" spans="1:5" ht="6.75" customHeight="1" x14ac:dyDescent="0.25"/>
    <row r="37" spans="1:5" x14ac:dyDescent="0.25">
      <c r="D37" s="465"/>
    </row>
    <row r="38" spans="1:5" x14ac:dyDescent="0.25">
      <c r="A38" t="s">
        <v>163</v>
      </c>
      <c r="B38" s="383"/>
      <c r="C38" s="466"/>
      <c r="D38" s="465"/>
    </row>
    <row r="39" spans="1:5" x14ac:dyDescent="0.25">
      <c r="A39" t="s">
        <v>164</v>
      </c>
      <c r="B39" s="384" t="s">
        <v>158</v>
      </c>
      <c r="C39" s="455">
        <v>7682675</v>
      </c>
      <c r="D39" s="465">
        <v>7682675</v>
      </c>
    </row>
    <row r="40" spans="1:5" ht="12" customHeight="1" x14ac:dyDescent="0.25">
      <c r="B40" s="383">
        <v>122</v>
      </c>
      <c r="C40" s="465"/>
      <c r="D40" s="465" t="s">
        <v>198</v>
      </c>
    </row>
    <row r="41" spans="1:5" ht="12" customHeight="1" x14ac:dyDescent="0.25">
      <c r="B41" s="383">
        <v>199</v>
      </c>
      <c r="C41" s="465"/>
      <c r="D41" s="465"/>
    </row>
    <row r="42" spans="1:5" ht="12" customHeight="1" x14ac:dyDescent="0.25">
      <c r="B42" s="383">
        <v>293</v>
      </c>
      <c r="C42" s="465"/>
      <c r="D42" s="465"/>
    </row>
    <row r="43" spans="1:5" ht="12" customHeight="1" x14ac:dyDescent="0.25">
      <c r="B43" s="383">
        <v>294</v>
      </c>
      <c r="C43" s="465"/>
      <c r="D43" s="465"/>
    </row>
    <row r="44" spans="1:5" ht="12" customHeight="1" x14ac:dyDescent="0.25">
      <c r="B44" s="383" t="s">
        <v>176</v>
      </c>
      <c r="C44" s="466">
        <f>SUM(C39:C43)</f>
        <v>7682675</v>
      </c>
      <c r="D44" s="466">
        <f>SUM(D39:D43)</f>
        <v>7682675</v>
      </c>
    </row>
    <row r="45" spans="1:5" ht="5.25" customHeight="1" x14ac:dyDescent="0.25"/>
    <row r="46" spans="1:5" ht="12" customHeight="1" x14ac:dyDescent="0.25">
      <c r="B46" s="403" t="s">
        <v>177</v>
      </c>
      <c r="C46" s="454"/>
      <c r="D46" s="454"/>
    </row>
    <row r="47" spans="1:5" ht="12" customHeight="1" x14ac:dyDescent="0.25">
      <c r="A47" t="s">
        <v>163</v>
      </c>
      <c r="B47" s="384" t="s">
        <v>155</v>
      </c>
      <c r="C47" s="455">
        <f>4019400-3319400</f>
        <v>700000</v>
      </c>
      <c r="D47" s="457">
        <v>700000</v>
      </c>
      <c r="E47" t="s">
        <v>192</v>
      </c>
    </row>
    <row r="48" spans="1:5" x14ac:dyDescent="0.25">
      <c r="B48" s="384" t="s">
        <v>159</v>
      </c>
      <c r="C48" s="455">
        <v>0</v>
      </c>
      <c r="D48" s="457"/>
      <c r="E48" t="s">
        <v>192</v>
      </c>
    </row>
    <row r="49" spans="1:7" x14ac:dyDescent="0.25">
      <c r="A49" t="s">
        <v>163</v>
      </c>
      <c r="B49" s="384" t="s">
        <v>160</v>
      </c>
      <c r="C49" s="455">
        <f>6899970-6307420</f>
        <v>592550</v>
      </c>
      <c r="D49" s="457"/>
      <c r="E49" t="s">
        <v>192</v>
      </c>
    </row>
    <row r="50" spans="1:7" x14ac:dyDescent="0.25">
      <c r="B50" s="384" t="s">
        <v>182</v>
      </c>
      <c r="C50" s="455"/>
      <c r="D50" s="457"/>
      <c r="E50" t="s">
        <v>192</v>
      </c>
    </row>
    <row r="51" spans="1:7" x14ac:dyDescent="0.25">
      <c r="B51" s="384" t="s">
        <v>155</v>
      </c>
      <c r="C51" s="455"/>
      <c r="D51" s="457"/>
      <c r="E51" t="s">
        <v>192</v>
      </c>
    </row>
    <row r="52" spans="1:7" x14ac:dyDescent="0.25">
      <c r="A52" t="s">
        <v>164</v>
      </c>
      <c r="B52" s="384" t="s">
        <v>159</v>
      </c>
      <c r="C52" s="455"/>
      <c r="D52" s="457"/>
      <c r="E52" t="s">
        <v>192</v>
      </c>
    </row>
    <row r="53" spans="1:7" x14ac:dyDescent="0.25">
      <c r="A53" t="s">
        <v>164</v>
      </c>
      <c r="B53" s="384" t="s">
        <v>160</v>
      </c>
      <c r="C53" s="455"/>
      <c r="D53" s="457"/>
    </row>
    <row r="54" spans="1:7" x14ac:dyDescent="0.25">
      <c r="B54" s="385"/>
      <c r="C54" s="458">
        <f>SUM(C47:C53)</f>
        <v>1292550</v>
      </c>
      <c r="D54" s="459">
        <f>SUM(D47:D53)</f>
        <v>700000</v>
      </c>
    </row>
    <row r="55" spans="1:7" ht="8.25" customHeight="1" x14ac:dyDescent="0.25"/>
    <row r="56" spans="1:7" x14ac:dyDescent="0.25">
      <c r="B56" s="383" t="s">
        <v>145</v>
      </c>
      <c r="C56" s="462"/>
      <c r="D56" s="464"/>
    </row>
    <row r="57" spans="1:7" x14ac:dyDescent="0.25">
      <c r="B57" s="385" t="s">
        <v>161</v>
      </c>
      <c r="C57" s="458"/>
      <c r="D57" s="459"/>
    </row>
    <row r="58" spans="1:7" ht="9" customHeight="1" x14ac:dyDescent="0.25"/>
    <row r="59" spans="1:7" x14ac:dyDescent="0.25">
      <c r="A59" t="s">
        <v>165</v>
      </c>
      <c r="B59" s="403" t="s">
        <v>162</v>
      </c>
      <c r="C59" s="462"/>
      <c r="D59" s="464"/>
    </row>
    <row r="60" spans="1:7" x14ac:dyDescent="0.25">
      <c r="B60" s="384" t="s">
        <v>155</v>
      </c>
      <c r="C60" s="455">
        <f>2288000+329220-1765980</f>
        <v>851240</v>
      </c>
      <c r="D60" s="457">
        <v>851240</v>
      </c>
      <c r="E60" t="s">
        <v>192</v>
      </c>
      <c r="F60">
        <v>329220</v>
      </c>
      <c r="G60" t="s">
        <v>206</v>
      </c>
    </row>
    <row r="61" spans="1:7" x14ac:dyDescent="0.25">
      <c r="B61" s="384" t="s">
        <v>155</v>
      </c>
      <c r="C61" s="455"/>
      <c r="D61" s="457"/>
    </row>
    <row r="62" spans="1:7" x14ac:dyDescent="0.25">
      <c r="B62" s="385"/>
      <c r="C62" s="458">
        <f>SUM(C60:C61)</f>
        <v>851240</v>
      </c>
      <c r="D62" s="459">
        <f>SUM(D60:D61)</f>
        <v>851240</v>
      </c>
    </row>
    <row r="63" spans="1:7" x14ac:dyDescent="0.25">
      <c r="C63" s="467"/>
    </row>
    <row r="64" spans="1:7" x14ac:dyDescent="0.25">
      <c r="B64" s="403" t="s">
        <v>95</v>
      </c>
      <c r="C64" s="463"/>
      <c r="D64" s="464"/>
    </row>
    <row r="65" spans="1:9" x14ac:dyDescent="0.25">
      <c r="A65" t="s">
        <v>193</v>
      </c>
      <c r="B65" s="384" t="s">
        <v>166</v>
      </c>
      <c r="C65" s="455">
        <f>3370250-1079650</f>
        <v>2290600</v>
      </c>
      <c r="D65" s="482">
        <f>256677.42+247000+222000+260000+323300+213000.01+209400+123000</f>
        <v>1854377.43</v>
      </c>
      <c r="E65" t="s">
        <v>191</v>
      </c>
      <c r="F65" s="380">
        <f>+C65+C6</f>
        <v>4581200</v>
      </c>
    </row>
    <row r="66" spans="1:9" x14ac:dyDescent="0.25">
      <c r="A66" t="s">
        <v>193</v>
      </c>
      <c r="B66" s="384">
        <v>121</v>
      </c>
      <c r="C66" s="455">
        <v>0</v>
      </c>
      <c r="D66" s="457"/>
      <c r="E66" t="s">
        <v>191</v>
      </c>
    </row>
    <row r="67" spans="1:9" x14ac:dyDescent="0.25">
      <c r="A67" t="s">
        <v>193</v>
      </c>
      <c r="B67" s="384">
        <v>122</v>
      </c>
      <c r="C67" s="455">
        <v>75000</v>
      </c>
      <c r="D67" s="482">
        <v>75000</v>
      </c>
      <c r="E67" t="s">
        <v>191</v>
      </c>
    </row>
    <row r="68" spans="1:9" x14ac:dyDescent="0.25">
      <c r="A68" t="s">
        <v>193</v>
      </c>
      <c r="B68" s="384">
        <v>136</v>
      </c>
      <c r="C68" s="455">
        <f>309259-200000-5963</f>
        <v>103296</v>
      </c>
      <c r="D68" s="482">
        <f>6559.3+12880+14017+14050.8+24079+11034.3</f>
        <v>82620.400000000009</v>
      </c>
      <c r="E68" t="s">
        <v>191</v>
      </c>
    </row>
    <row r="69" spans="1:9" x14ac:dyDescent="0.25">
      <c r="A69" t="s">
        <v>193</v>
      </c>
      <c r="B69" s="384">
        <v>155</v>
      </c>
      <c r="C69" s="455">
        <f>232000-216250</f>
        <v>15750</v>
      </c>
      <c r="D69" s="457">
        <v>15750</v>
      </c>
      <c r="E69" s="380" t="s">
        <v>191</v>
      </c>
    </row>
    <row r="70" spans="1:9" x14ac:dyDescent="0.25">
      <c r="A70" t="s">
        <v>193</v>
      </c>
      <c r="B70" s="384">
        <v>158</v>
      </c>
      <c r="C70" s="455">
        <f>215000+448000-455505</f>
        <v>207495</v>
      </c>
      <c r="D70" s="457">
        <v>0</v>
      </c>
      <c r="E70" t="s">
        <v>191</v>
      </c>
      <c r="F70" s="380"/>
    </row>
    <row r="71" spans="1:9" x14ac:dyDescent="0.25">
      <c r="A71" t="s">
        <v>193</v>
      </c>
      <c r="B71" s="384">
        <v>185</v>
      </c>
      <c r="C71" s="485">
        <v>65756</v>
      </c>
      <c r="D71" s="457">
        <f>156636.45-90880.45</f>
        <v>65756.000000000015</v>
      </c>
      <c r="E71" t="s">
        <v>191</v>
      </c>
      <c r="F71" s="380">
        <f>+D71+D23</f>
        <v>156636.45000000001</v>
      </c>
      <c r="G71" s="486">
        <f>+C71+C23</f>
        <v>157367</v>
      </c>
    </row>
    <row r="72" spans="1:9" x14ac:dyDescent="0.25">
      <c r="A72" t="s">
        <v>193</v>
      </c>
      <c r="B72" s="384">
        <v>189</v>
      </c>
      <c r="C72" s="487">
        <f>1696344-661935.93+380000-163794</f>
        <v>1250614.0699999998</v>
      </c>
      <c r="D72" s="482">
        <f>836123.46-661935.93+81571.77+255029.81+339495.82-406.54</f>
        <v>849878.3899999999</v>
      </c>
      <c r="E72" t="s">
        <v>191</v>
      </c>
      <c r="F72" s="380"/>
      <c r="G72" s="488">
        <f>+C72+C24+C22</f>
        <v>1532549.9999999998</v>
      </c>
      <c r="I72" s="380"/>
    </row>
    <row r="73" spans="1:9" x14ac:dyDescent="0.25">
      <c r="A73" t="s">
        <v>193</v>
      </c>
      <c r="B73" s="384">
        <v>194</v>
      </c>
      <c r="C73" s="455">
        <v>10000</v>
      </c>
      <c r="D73" s="457">
        <f>477.04+309.42+121.47</f>
        <v>907.93000000000006</v>
      </c>
      <c r="E73" t="s">
        <v>191</v>
      </c>
      <c r="F73" s="380"/>
      <c r="G73" s="380"/>
    </row>
    <row r="74" spans="1:9" x14ac:dyDescent="0.25">
      <c r="A74" t="s">
        <v>193</v>
      </c>
      <c r="B74" s="384">
        <v>195</v>
      </c>
      <c r="C74" s="455">
        <v>10000</v>
      </c>
      <c r="D74" s="457"/>
      <c r="F74" s="380"/>
    </row>
    <row r="75" spans="1:9" x14ac:dyDescent="0.25">
      <c r="A75" t="s">
        <v>193</v>
      </c>
      <c r="B75" s="384">
        <v>199</v>
      </c>
      <c r="C75" s="455">
        <v>0</v>
      </c>
      <c r="D75" s="457"/>
      <c r="E75" t="s">
        <v>191</v>
      </c>
    </row>
    <row r="76" spans="1:9" x14ac:dyDescent="0.25">
      <c r="A76" t="s">
        <v>193</v>
      </c>
      <c r="B76" s="384">
        <v>241</v>
      </c>
      <c r="C76" s="455">
        <f>4500+8500-6000</f>
        <v>7000</v>
      </c>
      <c r="D76" s="457">
        <v>6500</v>
      </c>
      <c r="E76" t="s">
        <v>191</v>
      </c>
    </row>
    <row r="77" spans="1:9" x14ac:dyDescent="0.25">
      <c r="A77" t="s">
        <v>193</v>
      </c>
      <c r="B77" s="384">
        <v>243</v>
      </c>
      <c r="C77" s="455">
        <v>0</v>
      </c>
      <c r="D77" s="457"/>
      <c r="E77" t="s">
        <v>191</v>
      </c>
    </row>
    <row r="78" spans="1:9" x14ac:dyDescent="0.25">
      <c r="A78" t="s">
        <v>193</v>
      </c>
      <c r="B78" s="384">
        <v>244</v>
      </c>
      <c r="C78" s="455">
        <f>5000+5000-5855</f>
        <v>4145</v>
      </c>
      <c r="D78" s="457">
        <v>4145</v>
      </c>
      <c r="E78" t="s">
        <v>191</v>
      </c>
    </row>
    <row r="79" spans="1:9" x14ac:dyDescent="0.25">
      <c r="A79" t="s">
        <v>193</v>
      </c>
      <c r="B79" s="384">
        <v>268</v>
      </c>
      <c r="C79" s="455">
        <f>1801800-606819-1193436</f>
        <v>1545</v>
      </c>
      <c r="D79" s="457">
        <v>1545</v>
      </c>
      <c r="E79" t="s">
        <v>191</v>
      </c>
    </row>
    <row r="80" spans="1:9" x14ac:dyDescent="0.25">
      <c r="A80" t="s">
        <v>193</v>
      </c>
      <c r="B80" s="384">
        <v>291</v>
      </c>
      <c r="C80" s="455">
        <f>23157-21989</f>
        <v>1168</v>
      </c>
      <c r="D80" s="457">
        <v>1167.8</v>
      </c>
      <c r="E80" t="s">
        <v>191</v>
      </c>
    </row>
    <row r="81" spans="1:5" x14ac:dyDescent="0.25">
      <c r="A81" t="s">
        <v>193</v>
      </c>
      <c r="B81" s="384">
        <v>322</v>
      </c>
      <c r="C81" s="455">
        <f>61852-56852</f>
        <v>5000</v>
      </c>
      <c r="D81" s="457"/>
      <c r="E81" t="s">
        <v>191</v>
      </c>
    </row>
    <row r="82" spans="1:5" x14ac:dyDescent="0.25">
      <c r="A82" t="s">
        <v>193</v>
      </c>
      <c r="B82" s="384">
        <v>328</v>
      </c>
      <c r="C82" s="455">
        <f>154629+130371</f>
        <v>285000</v>
      </c>
      <c r="D82" s="457">
        <v>280196</v>
      </c>
      <c r="E82" t="s">
        <v>191</v>
      </c>
    </row>
    <row r="83" spans="1:5" x14ac:dyDescent="0.25">
      <c r="A83" t="s">
        <v>201</v>
      </c>
      <c r="B83" s="384">
        <v>329</v>
      </c>
      <c r="C83" s="455">
        <v>15000</v>
      </c>
      <c r="D83" s="457">
        <v>13560</v>
      </c>
    </row>
    <row r="84" spans="1:5" x14ac:dyDescent="0.25">
      <c r="B84" s="441" t="s">
        <v>195</v>
      </c>
      <c r="C84" s="468">
        <f>SUM(C65:C83)</f>
        <v>4347369.07</v>
      </c>
      <c r="D84" s="469">
        <f>SUM(D65:D83)</f>
        <v>3251403.9499999997</v>
      </c>
    </row>
    <row r="85" spans="1:5" x14ac:dyDescent="0.25">
      <c r="A85" t="s">
        <v>193</v>
      </c>
      <c r="B85" s="384" t="s">
        <v>194</v>
      </c>
      <c r="C85" s="468">
        <f>111119038-1782238-75212550-416664-1794779-11648336-10761873</f>
        <v>9502598</v>
      </c>
      <c r="D85" s="469"/>
      <c r="E85" t="s">
        <v>191</v>
      </c>
    </row>
    <row r="86" spans="1:5" x14ac:dyDescent="0.25">
      <c r="B86" s="385"/>
      <c r="C86" s="458"/>
      <c r="D86" s="459"/>
    </row>
    <row r="88" spans="1:5" x14ac:dyDescent="0.25">
      <c r="C88" s="467">
        <f>C8++C11+C14+C18+C35+C44+C54+C57+C62+C84+C85</f>
        <v>92636714</v>
      </c>
      <c r="D88" s="467">
        <f>D8++D11+D14+D18+D35+D44+D54+D57+D62+D84+D85</f>
        <v>79735984.859999999</v>
      </c>
    </row>
    <row r="89" spans="1:5" ht="6" customHeight="1" x14ac:dyDescent="0.25"/>
    <row r="90" spans="1:5" x14ac:dyDescent="0.25">
      <c r="C90" s="484">
        <f>82810249+9826465</f>
        <v>92636714</v>
      </c>
      <c r="D90" s="451">
        <f>70502069.86+9233915</f>
        <v>79735984.859999999</v>
      </c>
    </row>
  </sheetData>
  <mergeCells count="1">
    <mergeCell ref="A1:E1"/>
  </mergeCells>
  <phoneticPr fontId="38" type="noConversion"/>
  <pageMargins left="0.70866141732283472" right="0.70866141732283472" top="0.74803149606299213" bottom="0.74803149606299213" header="0.31496062992125984" footer="0.31496062992125984"/>
  <pageSetup scale="5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6</vt:i4>
      </vt:variant>
    </vt:vector>
  </HeadingPairs>
  <TitlesOfParts>
    <vt:vector size="10" baseType="lpstr">
      <vt:lpstr>IAFF (1)</vt:lpstr>
      <vt:lpstr>IAFF (2)</vt:lpstr>
      <vt:lpstr>IAFF (3)</vt:lpstr>
      <vt:lpstr>Hoja1</vt:lpstr>
      <vt:lpstr>Hoja1!Área_de_impresión</vt:lpstr>
      <vt:lpstr>'IAFF (1)'!Área_de_impresión</vt:lpstr>
      <vt:lpstr>'IAFF (2)'!Área_de_impresión</vt:lpstr>
      <vt:lpstr>'IAFF (3)'!Área_de_impresión</vt:lpstr>
      <vt:lpstr>'IAFF (1)'!Títulos_a_imprimir</vt:lpstr>
      <vt:lpstr>'IAFF (2)'!Títulos_a_imprimir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Estuardo González Furlan</dc:creator>
  <cp:lastModifiedBy>Evelyn Marleny Giron Par</cp:lastModifiedBy>
  <cp:lastPrinted>2025-01-06T21:54:39Z</cp:lastPrinted>
  <dcterms:created xsi:type="dcterms:W3CDTF">2014-02-17T15:43:28Z</dcterms:created>
  <dcterms:modified xsi:type="dcterms:W3CDTF">2025-01-06T21:57:47Z</dcterms:modified>
</cp:coreProperties>
</file>